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.강&amp;강(2018~2019)\Budget(예산)\2020학년도\"/>
    </mc:Choice>
  </mc:AlternateContent>
  <bookViews>
    <workbookView xWindow="360" yWindow="105" windowWidth="28035" windowHeight="13005" activeTab="1"/>
  </bookViews>
  <sheets>
    <sheet name="(학교회계)2020 1차 추경 세입예산서" sheetId="2" r:id="rId1"/>
    <sheet name="(학교회계)2020 1차 추경 세출예산서" sheetId="1" r:id="rId2"/>
  </sheets>
  <definedNames>
    <definedName name="_xlnm._FilterDatabase" localSheetId="1" hidden="1">'(학교회계)2020 1차 추경 세출예산서'!$A$3:$H$452</definedName>
    <definedName name="_xlnm.Print_Area" localSheetId="1">'(학교회계)2020 1차 추경 세출예산서'!$A$1:$H$452</definedName>
    <definedName name="_xlnm.Print_Titles" localSheetId="0">'(학교회계)2020 1차 추경 세입예산서'!$1:$4</definedName>
  </definedNames>
  <calcPr calcId="152511"/>
</workbook>
</file>

<file path=xl/calcChain.xml><?xml version="1.0" encoding="utf-8"?>
<calcChain xmlns="http://schemas.openxmlformats.org/spreadsheetml/2006/main">
  <c r="H382" i="1" l="1"/>
  <c r="E437" i="1"/>
  <c r="E440" i="1"/>
  <c r="F441" i="1"/>
  <c r="H428" i="1" l="1"/>
  <c r="D438" i="1"/>
  <c r="H441" i="1"/>
  <c r="E377" i="1"/>
  <c r="E376" i="1" s="1"/>
  <c r="H187" i="1"/>
  <c r="H241" i="1"/>
  <c r="H109" i="1"/>
  <c r="H12" i="1"/>
  <c r="H70" i="2"/>
  <c r="E65" i="2"/>
  <c r="H15" i="2"/>
  <c r="H13" i="2"/>
  <c r="H12" i="2"/>
  <c r="H7" i="2"/>
  <c r="H8" i="2"/>
  <c r="D440" i="1" l="1"/>
  <c r="H282" i="1"/>
  <c r="H194" i="1"/>
  <c r="H272" i="1"/>
  <c r="H271" i="1"/>
  <c r="H268" i="1"/>
  <c r="E60" i="1"/>
  <c r="H10" i="2"/>
  <c r="H9" i="2"/>
  <c r="D70" i="2"/>
  <c r="D91" i="2"/>
  <c r="E326" i="1"/>
  <c r="E69" i="2"/>
  <c r="E19" i="2"/>
  <c r="H49" i="1"/>
  <c r="H41" i="1"/>
  <c r="H48" i="1"/>
  <c r="H244" i="1"/>
  <c r="H192" i="1"/>
  <c r="H404" i="1"/>
  <c r="H11" i="2" l="1"/>
  <c r="F440" i="1"/>
  <c r="H41" i="2"/>
  <c r="H247" i="1"/>
  <c r="H414" i="1"/>
  <c r="H32" i="2"/>
  <c r="H236" i="1"/>
  <c r="H67" i="1"/>
  <c r="H47" i="1"/>
  <c r="H38" i="1"/>
  <c r="H35" i="1"/>
  <c r="H34" i="1"/>
  <c r="H30" i="1"/>
  <c r="H29" i="1"/>
  <c r="H20" i="1"/>
  <c r="H43" i="1"/>
  <c r="H24" i="1"/>
  <c r="H42" i="1"/>
  <c r="H188" i="1"/>
  <c r="H277" i="1" l="1"/>
  <c r="H198" i="1"/>
  <c r="H214" i="1"/>
  <c r="H197" i="1"/>
  <c r="H208" i="1"/>
  <c r="H206" i="1"/>
  <c r="H211" i="1"/>
  <c r="H355" i="1"/>
  <c r="H338" i="1"/>
  <c r="H354" i="1"/>
  <c r="H335" i="1"/>
  <c r="H225" i="1"/>
  <c r="H239" i="1"/>
  <c r="H332" i="1"/>
  <c r="H333" i="1"/>
  <c r="H190" i="1"/>
  <c r="H189" i="1"/>
  <c r="H246" i="1"/>
  <c r="H242" i="1"/>
  <c r="H301" i="1"/>
  <c r="H243" i="1"/>
  <c r="H299" i="1"/>
  <c r="H300" i="1"/>
  <c r="H182" i="1"/>
  <c r="H183" i="1"/>
  <c r="H181" i="1"/>
  <c r="H178" i="1"/>
  <c r="H177" i="1"/>
  <c r="H176" i="1"/>
  <c r="H175" i="1"/>
  <c r="H174" i="1"/>
  <c r="H169" i="1"/>
  <c r="H168" i="1"/>
  <c r="H167" i="1"/>
  <c r="H166" i="1"/>
  <c r="H164" i="1"/>
  <c r="H163" i="1"/>
  <c r="H162" i="1"/>
  <c r="H161" i="1"/>
  <c r="H159" i="1"/>
  <c r="H158" i="1"/>
  <c r="D386" i="1" l="1"/>
  <c r="H45" i="2" l="1"/>
  <c r="H46" i="2"/>
  <c r="H308" i="1"/>
  <c r="H309" i="1" s="1"/>
  <c r="H422" i="1"/>
  <c r="H420" i="1"/>
  <c r="H62" i="2"/>
  <c r="H64" i="2"/>
  <c r="H63" i="2"/>
  <c r="D47" i="2"/>
  <c r="H38" i="2"/>
  <c r="H37" i="2"/>
  <c r="H36" i="2"/>
  <c r="H30" i="2"/>
  <c r="H14" i="2"/>
  <c r="H16" i="2" s="1"/>
  <c r="H435" i="1"/>
  <c r="D435" i="1" s="1"/>
  <c r="D433" i="1"/>
  <c r="H65" i="2" l="1"/>
  <c r="D62" i="2" s="1"/>
  <c r="D61" i="2" s="1"/>
  <c r="H39" i="2"/>
  <c r="D12" i="2"/>
  <c r="H424" i="1"/>
  <c r="H425" i="1" s="1"/>
  <c r="H380" i="1"/>
  <c r="H312" i="1"/>
  <c r="H364" i="1"/>
  <c r="H363" i="1"/>
  <c r="H367" i="1"/>
  <c r="H343" i="1"/>
  <c r="H337" i="1"/>
  <c r="H313" i="1"/>
  <c r="H314" i="1" l="1"/>
  <c r="H142" i="1"/>
  <c r="H144" i="1"/>
  <c r="H140" i="1"/>
  <c r="H138" i="1"/>
  <c r="H132" i="1"/>
  <c r="H129" i="1"/>
  <c r="H128" i="1"/>
  <c r="H126" i="1"/>
  <c r="H123" i="1"/>
  <c r="H121" i="1"/>
  <c r="H122" i="1"/>
  <c r="H116" i="1"/>
  <c r="H115" i="1"/>
  <c r="H99" i="1" l="1"/>
  <c r="H98" i="1"/>
  <c r="H96" i="1"/>
  <c r="H95" i="1"/>
  <c r="H88" i="1"/>
  <c r="H84" i="1"/>
  <c r="H82" i="1"/>
  <c r="H76" i="1"/>
  <c r="H78" i="1"/>
  <c r="H77" i="1"/>
  <c r="H75" i="1"/>
  <c r="H72" i="1"/>
  <c r="H71" i="1"/>
  <c r="H70" i="1"/>
  <c r="H64" i="1" l="1"/>
  <c r="H63" i="1"/>
  <c r="H62" i="1"/>
  <c r="H8" i="1"/>
  <c r="H55" i="1"/>
  <c r="H56" i="1" s="1"/>
  <c r="H33" i="1"/>
  <c r="H13" i="1"/>
  <c r="H25" i="1"/>
  <c r="H19" i="1"/>
  <c r="H17" i="1"/>
  <c r="H9" i="1"/>
  <c r="H16" i="1"/>
  <c r="H15" i="1"/>
  <c r="H14" i="1"/>
  <c r="H393" i="1" l="1"/>
  <c r="H407" i="1"/>
  <c r="H401" i="1"/>
  <c r="H398" i="1"/>
  <c r="H391" i="1"/>
  <c r="H28" i="2"/>
  <c r="H27" i="2"/>
  <c r="H26" i="2"/>
  <c r="H25" i="2"/>
  <c r="H24" i="2"/>
  <c r="H22" i="2"/>
  <c r="H21" i="2"/>
  <c r="H20" i="2"/>
  <c r="F91" i="2"/>
  <c r="E89" i="2"/>
  <c r="E88" i="2" s="1"/>
  <c r="D86" i="2"/>
  <c r="F86" i="2" s="1"/>
  <c r="D84" i="2"/>
  <c r="F84" i="2" s="1"/>
  <c r="D82" i="2"/>
  <c r="F82" i="2" s="1"/>
  <c r="D78" i="2"/>
  <c r="F78" i="2" s="1"/>
  <c r="D75" i="2"/>
  <c r="F75" i="2" s="1"/>
  <c r="D73" i="2"/>
  <c r="F73" i="2" s="1"/>
  <c r="D69" i="2"/>
  <c r="F69" i="2" s="1"/>
  <c r="D67" i="2"/>
  <c r="F67" i="2" s="1"/>
  <c r="D65" i="2"/>
  <c r="F65" i="2" s="1"/>
  <c r="F64" i="2"/>
  <c r="F63" i="2"/>
  <c r="E61" i="2"/>
  <c r="E60" i="2" s="1"/>
  <c r="D59" i="2"/>
  <c r="D58" i="2" s="1"/>
  <c r="E58" i="2"/>
  <c r="E56" i="2"/>
  <c r="D56" i="2"/>
  <c r="H53" i="2"/>
  <c r="E44" i="2"/>
  <c r="D50" i="2"/>
  <c r="F50" i="2" s="1"/>
  <c r="H49" i="2"/>
  <c r="D48" i="2"/>
  <c r="F48" i="2" s="1"/>
  <c r="D46" i="2"/>
  <c r="F46" i="2" s="1"/>
  <c r="H40" i="2"/>
  <c r="H42" i="2" s="1"/>
  <c r="H34" i="2"/>
  <c r="H33" i="2"/>
  <c r="H23" i="2"/>
  <c r="F18" i="2"/>
  <c r="E17" i="2"/>
  <c r="D17" i="2"/>
  <c r="E6" i="2"/>
  <c r="H35" i="2" l="1"/>
  <c r="D30" i="2" s="1"/>
  <c r="F30" i="2" s="1"/>
  <c r="H29" i="2"/>
  <c r="D20" i="2" s="1"/>
  <c r="H55" i="2"/>
  <c r="D44" i="2" s="1"/>
  <c r="D43" i="2" s="1"/>
  <c r="D40" i="2"/>
  <c r="F40" i="2" s="1"/>
  <c r="D49" i="2"/>
  <c r="F49" i="2" s="1"/>
  <c r="F59" i="2"/>
  <c r="F58" i="2"/>
  <c r="D51" i="2"/>
  <c r="F51" i="2" s="1"/>
  <c r="F56" i="2"/>
  <c r="E43" i="2"/>
  <c r="F62" i="2"/>
  <c r="D72" i="2"/>
  <c r="F17" i="2"/>
  <c r="F12" i="2"/>
  <c r="D36" i="2"/>
  <c r="F36" i="2" s="1"/>
  <c r="E5" i="2"/>
  <c r="D45" i="2"/>
  <c r="F45" i="2" s="1"/>
  <c r="D77" i="2"/>
  <c r="D81" i="2"/>
  <c r="D89" i="2"/>
  <c r="F77" i="2" l="1"/>
  <c r="F72" i="2"/>
  <c r="F81" i="2"/>
  <c r="D7" i="2"/>
  <c r="D60" i="2"/>
  <c r="E92" i="2"/>
  <c r="F44" i="2"/>
  <c r="F43" i="2"/>
  <c r="D19" i="2"/>
  <c r="F20" i="2"/>
  <c r="D88" i="2"/>
  <c r="F89" i="2"/>
  <c r="F19" i="2" l="1"/>
  <c r="F60" i="2"/>
  <c r="F7" i="2"/>
  <c r="D6" i="2"/>
  <c r="F6" i="2" s="1"/>
  <c r="F61" i="2"/>
  <c r="F88" i="2"/>
  <c r="D5" i="2" l="1"/>
  <c r="F5" i="2" l="1"/>
  <c r="D92" i="2"/>
  <c r="F92" i="2" s="1"/>
  <c r="H330" i="1"/>
  <c r="H329" i="1"/>
  <c r="H411" i="1"/>
  <c r="H232" i="1"/>
  <c r="H266" i="1"/>
  <c r="H234" i="1"/>
  <c r="H231" i="1"/>
  <c r="H179" i="1"/>
  <c r="H349" i="1"/>
  <c r="H233" i="1"/>
  <c r="H170" i="1" l="1"/>
  <c r="H171" i="1" s="1"/>
  <c r="H226" i="1"/>
  <c r="H322" i="1"/>
  <c r="H258" i="1"/>
  <c r="H252" i="1"/>
  <c r="H251" i="1"/>
  <c r="H250" i="1"/>
  <c r="H256" i="1"/>
  <c r="H353" i="1"/>
  <c r="H287" i="1"/>
  <c r="H202" i="1"/>
  <c r="H199" i="1"/>
  <c r="H196" i="1"/>
  <c r="H253" i="1"/>
  <c r="H304" i="1"/>
  <c r="H369" i="1"/>
  <c r="H153" i="1"/>
  <c r="H145" i="1"/>
  <c r="H283" i="1"/>
  <c r="H191" i="1"/>
  <c r="H281" i="1"/>
  <c r="H238" i="1"/>
  <c r="H185" i="1"/>
  <c r="H345" i="1"/>
  <c r="D449" i="1"/>
  <c r="D448" i="1" s="1"/>
  <c r="D446" i="1"/>
  <c r="D444" i="1"/>
  <c r="D442" i="1"/>
  <c r="E438" i="1"/>
  <c r="F435" i="1"/>
  <c r="E434" i="1"/>
  <c r="D434" i="1"/>
  <c r="F433" i="1"/>
  <c r="E431" i="1"/>
  <c r="D431" i="1"/>
  <c r="H427" i="1"/>
  <c r="H429" i="1" s="1"/>
  <c r="H417" i="1"/>
  <c r="H416" i="1"/>
  <c r="E389" i="1"/>
  <c r="E388" i="1" s="1"/>
  <c r="H408" i="1"/>
  <c r="H405" i="1"/>
  <c r="H403" i="1"/>
  <c r="H400" i="1"/>
  <c r="H399" i="1"/>
  <c r="H397" i="1"/>
  <c r="H396" i="1"/>
  <c r="H395" i="1"/>
  <c r="H392" i="1"/>
  <c r="H385" i="1"/>
  <c r="D378" i="1"/>
  <c r="H374" i="1"/>
  <c r="H373" i="1"/>
  <c r="H372" i="1"/>
  <c r="E360" i="1"/>
  <c r="E359" i="1" s="1"/>
  <c r="H368" i="1"/>
  <c r="H366" i="1"/>
  <c r="H365" i="1"/>
  <c r="H357" i="1"/>
  <c r="H351" i="1"/>
  <c r="H344" i="1"/>
  <c r="H342" i="1"/>
  <c r="H341" i="1"/>
  <c r="H340" i="1"/>
  <c r="H339" i="1"/>
  <c r="H321" i="1"/>
  <c r="H318" i="1"/>
  <c r="H303" i="1"/>
  <c r="H298" i="1"/>
  <c r="E293" i="1"/>
  <c r="H295" i="1"/>
  <c r="D294" i="1" s="1"/>
  <c r="F294" i="1" s="1"/>
  <c r="H291" i="1"/>
  <c r="H290" i="1"/>
  <c r="H289" i="1"/>
  <c r="H288" i="1"/>
  <c r="H286" i="1"/>
  <c r="H280" i="1"/>
  <c r="H279" i="1"/>
  <c r="H278" i="1"/>
  <c r="H269" i="1"/>
  <c r="H274" i="1" s="1"/>
  <c r="H259" i="1"/>
  <c r="H257" i="1"/>
  <c r="H240" i="1"/>
  <c r="H237" i="1"/>
  <c r="H227" i="1"/>
  <c r="H224" i="1"/>
  <c r="H222" i="1"/>
  <c r="H221" i="1"/>
  <c r="H219" i="1"/>
  <c r="H215" i="1"/>
  <c r="H213" i="1"/>
  <c r="H212" i="1"/>
  <c r="H210" i="1"/>
  <c r="H207" i="1"/>
  <c r="H204" i="1"/>
  <c r="H201" i="1"/>
  <c r="H200" i="1"/>
  <c r="H186" i="1"/>
  <c r="E155" i="1"/>
  <c r="H151" i="1"/>
  <c r="H150" i="1"/>
  <c r="H149" i="1"/>
  <c r="H148" i="1"/>
  <c r="H143" i="1"/>
  <c r="H141" i="1"/>
  <c r="H139" i="1"/>
  <c r="H137" i="1"/>
  <c r="H133" i="1"/>
  <c r="H131" i="1"/>
  <c r="H130" i="1"/>
  <c r="H127" i="1"/>
  <c r="H120" i="1"/>
  <c r="H119" i="1"/>
  <c r="H114" i="1"/>
  <c r="H113" i="1"/>
  <c r="H112" i="1"/>
  <c r="H111" i="1"/>
  <c r="H110" i="1"/>
  <c r="H106" i="1"/>
  <c r="H107" i="1" s="1"/>
  <c r="D105" i="1" s="1"/>
  <c r="F105" i="1" s="1"/>
  <c r="H103" i="1"/>
  <c r="H102" i="1"/>
  <c r="H101" i="1"/>
  <c r="H100" i="1"/>
  <c r="H97" i="1"/>
  <c r="H92" i="1"/>
  <c r="H93" i="1" s="1"/>
  <c r="H89" i="1"/>
  <c r="H87" i="1"/>
  <c r="H81" i="1"/>
  <c r="H80" i="1"/>
  <c r="H79" i="1"/>
  <c r="H73" i="1"/>
  <c r="H66" i="1"/>
  <c r="H65" i="1"/>
  <c r="D57" i="1"/>
  <c r="H52" i="1"/>
  <c r="H51" i="1"/>
  <c r="H40" i="1"/>
  <c r="H39" i="1"/>
  <c r="H37" i="1"/>
  <c r="H36" i="1"/>
  <c r="H32" i="1"/>
  <c r="H31" i="1"/>
  <c r="E27" i="1"/>
  <c r="H23" i="1"/>
  <c r="H22" i="1"/>
  <c r="H21" i="1"/>
  <c r="H18" i="1"/>
  <c r="H11" i="1"/>
  <c r="H10" i="1"/>
  <c r="E6" i="1"/>
  <c r="H292" i="1" l="1"/>
  <c r="D437" i="1"/>
  <c r="H216" i="1"/>
  <c r="H263" i="1"/>
  <c r="H358" i="1"/>
  <c r="H44" i="1"/>
  <c r="H346" i="1"/>
  <c r="H370" i="1"/>
  <c r="D361" i="1" s="1"/>
  <c r="H325" i="1"/>
  <c r="H53" i="1"/>
  <c r="H26" i="1"/>
  <c r="H68" i="1"/>
  <c r="D61" i="1" s="1"/>
  <c r="F61" i="1" s="1"/>
  <c r="H228" i="1"/>
  <c r="H305" i="1"/>
  <c r="H375" i="1"/>
  <c r="D371" i="1" s="1"/>
  <c r="F371" i="1" s="1"/>
  <c r="H418" i="1"/>
  <c r="D410" i="1" s="1"/>
  <c r="F410" i="1" s="1"/>
  <c r="H90" i="1"/>
  <c r="D86" i="1" s="1"/>
  <c r="F86" i="1" s="1"/>
  <c r="H104" i="1"/>
  <c r="D94" i="1" s="1"/>
  <c r="F94" i="1" s="1"/>
  <c r="H124" i="1"/>
  <c r="D118" i="1" s="1"/>
  <c r="F118" i="1" s="1"/>
  <c r="H85" i="1"/>
  <c r="D69" i="1" s="1"/>
  <c r="H154" i="1"/>
  <c r="D135" i="1" s="1"/>
  <c r="F135" i="1" s="1"/>
  <c r="H409" i="1"/>
  <c r="D390" i="1" s="1"/>
  <c r="F390" i="1" s="1"/>
  <c r="H117" i="1"/>
  <c r="D108" i="1" s="1"/>
  <c r="F108" i="1" s="1"/>
  <c r="H134" i="1"/>
  <c r="D125" i="1" s="1"/>
  <c r="F125" i="1" s="1"/>
  <c r="D91" i="1"/>
  <c r="F91" i="1" s="1"/>
  <c r="D426" i="1"/>
  <c r="F426" i="1" s="1"/>
  <c r="E430" i="1"/>
  <c r="F439" i="1"/>
  <c r="D381" i="1"/>
  <c r="D419" i="1"/>
  <c r="F419" i="1" s="1"/>
  <c r="E5" i="1"/>
  <c r="F431" i="1"/>
  <c r="F434" i="1"/>
  <c r="F378" i="1"/>
  <c r="D430" i="1"/>
  <c r="E59" i="1" l="1"/>
  <c r="E452" i="1" s="1"/>
  <c r="F69" i="1"/>
  <c r="D28" i="1"/>
  <c r="F28" i="1" s="1"/>
  <c r="F438" i="1"/>
  <c r="F437" i="1"/>
  <c r="D60" i="1"/>
  <c r="F361" i="1"/>
  <c r="D360" i="1"/>
  <c r="F381" i="1"/>
  <c r="D377" i="1"/>
  <c r="D389" i="1"/>
  <c r="F430" i="1"/>
  <c r="D296" i="1"/>
  <c r="D293" i="1" s="1"/>
  <c r="D327" i="1"/>
  <c r="F327" i="1" s="1"/>
  <c r="D156" i="1"/>
  <c r="F156" i="1" s="1"/>
  <c r="F377" i="1" l="1"/>
  <c r="D376" i="1"/>
  <c r="F360" i="1"/>
  <c r="D359" i="1"/>
  <c r="F293" i="1"/>
  <c r="F60" i="1"/>
  <c r="F389" i="1"/>
  <c r="F296" i="1"/>
  <c r="D27" i="1"/>
  <c r="F27" i="1" s="1"/>
  <c r="D326" i="1"/>
  <c r="D155" i="1"/>
  <c r="F376" i="1" l="1"/>
  <c r="F155" i="1"/>
  <c r="F326" i="1"/>
  <c r="F359" i="1"/>
  <c r="D388" i="1"/>
  <c r="D59" i="1"/>
  <c r="F59" i="1" s="1"/>
  <c r="D7" i="1"/>
  <c r="F7" i="1" s="1"/>
  <c r="F388" i="1" l="1"/>
  <c r="D6" i="1"/>
  <c r="F6" i="1" l="1"/>
  <c r="D5" i="1"/>
  <c r="D452" i="1" s="1"/>
  <c r="F452" i="1" l="1"/>
  <c r="F5" i="1"/>
  <c r="D93" i="2" l="1"/>
</calcChain>
</file>

<file path=xl/sharedStrings.xml><?xml version="1.0" encoding="utf-8"?>
<sst xmlns="http://schemas.openxmlformats.org/spreadsheetml/2006/main" count="654" uniqueCount="467">
  <si>
    <t>과 목</t>
    <phoneticPr fontId="7" type="noConversion"/>
  </si>
  <si>
    <t>비교증감</t>
    <phoneticPr fontId="7" type="noConversion"/>
  </si>
  <si>
    <t>관</t>
    <phoneticPr fontId="7" type="noConversion"/>
  </si>
  <si>
    <t>항</t>
    <phoneticPr fontId="7" type="noConversion"/>
  </si>
  <si>
    <t>목</t>
    <phoneticPr fontId="7" type="noConversion"/>
  </si>
  <si>
    <t>인건비</t>
    <phoneticPr fontId="7" type="noConversion"/>
  </si>
  <si>
    <t>교원인건비</t>
    <phoneticPr fontId="7" type="noConversion"/>
  </si>
  <si>
    <t>소계</t>
    <phoneticPr fontId="7" type="noConversion"/>
  </si>
  <si>
    <t>직원및계약교직원인건비</t>
    <phoneticPr fontId="7" type="noConversion"/>
  </si>
  <si>
    <t>직원및계약교직원인건비</t>
  </si>
  <si>
    <t>FWL,CDAC,SDL 기관부담금 2,000불 x 12월 =</t>
    <phoneticPr fontId="7" type="noConversion"/>
  </si>
  <si>
    <t>퇴직적립금</t>
    <phoneticPr fontId="7" type="noConversion"/>
  </si>
  <si>
    <t>학교운영비</t>
    <phoneticPr fontId="7" type="noConversion"/>
  </si>
  <si>
    <t>일반운영비</t>
    <phoneticPr fontId="7" type="noConversion"/>
  </si>
  <si>
    <t>시설장비유지비</t>
    <phoneticPr fontId="7" type="noConversion"/>
  </si>
  <si>
    <t>지급수수료</t>
    <phoneticPr fontId="7" type="noConversion"/>
  </si>
  <si>
    <t>임차료</t>
    <phoneticPr fontId="7" type="noConversion"/>
  </si>
  <si>
    <t>전기·수도요금</t>
    <phoneticPr fontId="7" type="noConversion"/>
  </si>
  <si>
    <t>각종 세금·공과금</t>
    <phoneticPr fontId="7" type="noConversion"/>
  </si>
  <si>
    <t>연료비</t>
    <phoneticPr fontId="7" type="noConversion"/>
  </si>
  <si>
    <t>여비</t>
    <phoneticPr fontId="7" type="noConversion"/>
  </si>
  <si>
    <t>소모품비</t>
    <phoneticPr fontId="7" type="noConversion"/>
  </si>
  <si>
    <t>복리후생비</t>
    <phoneticPr fontId="7" type="noConversion"/>
  </si>
  <si>
    <t>교직원의료비지원_가족포함 50불 x 3회 x 20명 x 12월 =</t>
  </si>
  <si>
    <t>기타일반수용비</t>
    <phoneticPr fontId="7" type="noConversion"/>
  </si>
  <si>
    <t xml:space="preserve">신규교직원 워크숍 경비 3,000불 × 1회 = </t>
  </si>
  <si>
    <t xml:space="preserve">생수구입 800불 x 12월 = </t>
  </si>
  <si>
    <t>교수학습활동비</t>
    <phoneticPr fontId="7" type="noConversion"/>
  </si>
  <si>
    <t>SKIS TALENT 준비 10,000불× 1회 =</t>
  </si>
  <si>
    <t>MUN 참가비 1,000불× 1회 =</t>
  </si>
  <si>
    <t>애플데이 운영 1,000불 × 1회 =</t>
  </si>
  <si>
    <t>FUN RUN 운영 1,000불 × 1회 =　</t>
  </si>
  <si>
    <t>체육행사 운영 1,000불 × 10회 =　</t>
  </si>
  <si>
    <t>또래상담자 운영 2,000불 × 1회 =　</t>
  </si>
  <si>
    <t>행복한학교만들기캠페인 운영 1,000불 × 1회 =　</t>
  </si>
  <si>
    <t>학생복지비</t>
    <phoneticPr fontId="7" type="noConversion"/>
  </si>
  <si>
    <t>장학금</t>
    <phoneticPr fontId="7" type="noConversion"/>
  </si>
  <si>
    <t>-</t>
    <phoneticPr fontId="7" type="noConversion"/>
  </si>
  <si>
    <t>기타학생복지비</t>
    <phoneticPr fontId="7" type="noConversion"/>
  </si>
  <si>
    <t>업무추진비</t>
    <phoneticPr fontId="7" type="noConversion"/>
  </si>
  <si>
    <t>시설비</t>
    <phoneticPr fontId="7" type="noConversion"/>
  </si>
  <si>
    <t>자산취득비</t>
    <phoneticPr fontId="7" type="noConversion"/>
  </si>
  <si>
    <t>도서구입비</t>
    <phoneticPr fontId="7" type="noConversion"/>
  </si>
  <si>
    <t>기타 도서구입 20불 × 10권 × 2학기 =</t>
  </si>
  <si>
    <t>시설(대수선)비</t>
    <phoneticPr fontId="7" type="noConversion"/>
  </si>
  <si>
    <t>대수선비</t>
    <phoneticPr fontId="7" type="noConversion"/>
  </si>
  <si>
    <t>임차보증금</t>
    <phoneticPr fontId="7" type="noConversion"/>
  </si>
  <si>
    <t>임차보증금 지급</t>
    <phoneticPr fontId="7" type="noConversion"/>
  </si>
  <si>
    <t>수익자부담경비</t>
    <phoneticPr fontId="7" type="noConversion"/>
  </si>
  <si>
    <t>학교급식비</t>
    <phoneticPr fontId="7" type="noConversion"/>
  </si>
  <si>
    <t>식당방역 2,000불 x 1년 =</t>
  </si>
  <si>
    <t>방과후학교교육활동비</t>
  </si>
  <si>
    <t>현장학습비</t>
  </si>
  <si>
    <t>기타수익자부담경비</t>
  </si>
  <si>
    <t>차입금</t>
    <phoneticPr fontId="7" type="noConversion"/>
  </si>
  <si>
    <t>일시차입금 상환</t>
    <phoneticPr fontId="7" type="noConversion"/>
  </si>
  <si>
    <t>장기차입금 상환</t>
    <phoneticPr fontId="7" type="noConversion"/>
  </si>
  <si>
    <t>이자비용</t>
    <phoneticPr fontId="7" type="noConversion"/>
  </si>
  <si>
    <t>예비비</t>
    <phoneticPr fontId="7" type="noConversion"/>
  </si>
  <si>
    <t>적립금</t>
    <phoneticPr fontId="7" type="noConversion"/>
  </si>
  <si>
    <t>반환금</t>
    <phoneticPr fontId="7" type="noConversion"/>
  </si>
  <si>
    <t>잡지출</t>
    <phoneticPr fontId="7" type="noConversion"/>
  </si>
  <si>
    <t>환차손</t>
    <phoneticPr fontId="7" type="noConversion"/>
  </si>
  <si>
    <t>이월금</t>
    <phoneticPr fontId="7" type="noConversion"/>
  </si>
  <si>
    <t>다음연도이월금</t>
    <phoneticPr fontId="7" type="noConversion"/>
  </si>
  <si>
    <t>⑩ 이월사업비</t>
    <phoneticPr fontId="7" type="noConversion"/>
  </si>
  <si>
    <t>⑪ 순세계잉여금</t>
    <phoneticPr fontId="7" type="noConversion"/>
  </si>
  <si>
    <t>세출합계</t>
    <phoneticPr fontId="7" type="noConversion"/>
  </si>
  <si>
    <t>재외국민전형대비특강 300불 ×45명× 2학기 =　</t>
    <phoneticPr fontId="7" type="noConversion"/>
  </si>
  <si>
    <t>과 목</t>
    <phoneticPr fontId="7" type="noConversion"/>
  </si>
  <si>
    <t>산출기초(SGD)</t>
    <phoneticPr fontId="7" type="noConversion"/>
  </si>
  <si>
    <t>학부모부담수입</t>
    <phoneticPr fontId="7" type="noConversion"/>
  </si>
  <si>
    <t>등록금</t>
    <phoneticPr fontId="7" type="noConversion"/>
  </si>
  <si>
    <t>입학금</t>
    <phoneticPr fontId="7" type="noConversion"/>
  </si>
  <si>
    <t xml:space="preserve">초등학교 3,210불 x 82명 = </t>
    <phoneticPr fontId="7" type="noConversion"/>
  </si>
  <si>
    <t>중학교 3,210불 x 22명 =</t>
    <phoneticPr fontId="7" type="noConversion"/>
  </si>
  <si>
    <t>고등학교 3,210불 x 20명 =</t>
    <phoneticPr fontId="7" type="noConversion"/>
  </si>
  <si>
    <t>수업료</t>
    <phoneticPr fontId="7" type="noConversion"/>
  </si>
  <si>
    <t>학교운영지원비</t>
    <phoneticPr fontId="7" type="noConversion"/>
  </si>
  <si>
    <t>교직원 5불 x 40명 x 185일 =</t>
  </si>
  <si>
    <t>방과후학교_중학교 200불 x 50명 x 2학기 =</t>
    <phoneticPr fontId="7" type="noConversion"/>
  </si>
  <si>
    <t>방과후학교_고등학교 200불 x 60명 x 2학기 =</t>
    <phoneticPr fontId="7" type="noConversion"/>
  </si>
  <si>
    <t xml:space="preserve">재외국민전형대비특강 300불 x 45명 x 2학기 = </t>
    <phoneticPr fontId="7" type="noConversion"/>
  </si>
  <si>
    <t>지원금수입</t>
    <phoneticPr fontId="7" type="noConversion"/>
  </si>
  <si>
    <t>교육부지원금</t>
    <phoneticPr fontId="7" type="noConversion"/>
  </si>
  <si>
    <t>현지채용교직원인건비</t>
    <phoneticPr fontId="7" type="noConversion"/>
  </si>
  <si>
    <t>운영비</t>
    <phoneticPr fontId="7" type="noConversion"/>
  </si>
  <si>
    <t>임차료</t>
    <phoneticPr fontId="7" type="noConversion"/>
  </si>
  <si>
    <t>저소득층자녀지원</t>
    <phoneticPr fontId="7" type="noConversion"/>
  </si>
  <si>
    <t>방과후학교지원</t>
    <phoneticPr fontId="7" type="noConversion"/>
  </si>
  <si>
    <t xml:space="preserve">방과후학교지원 39,037불 x 1회 = </t>
    <phoneticPr fontId="7" type="noConversion"/>
  </si>
  <si>
    <t>기타교육부지원금</t>
    <phoneticPr fontId="7" type="noConversion"/>
  </si>
  <si>
    <t xml:space="preserve">특수교육지원 4,824불 x 1회 = </t>
    <phoneticPr fontId="7" type="noConversion"/>
  </si>
  <si>
    <t xml:space="preserve">통학버스탑승도우미 13불 × 3시간 × 20일 × 9개월 × 4명 = </t>
    <phoneticPr fontId="7" type="noConversion"/>
  </si>
  <si>
    <t>기타국고지원금</t>
    <phoneticPr fontId="7" type="noConversion"/>
  </si>
  <si>
    <t>기타지원금</t>
    <phoneticPr fontId="7" type="noConversion"/>
  </si>
  <si>
    <t>행정활동수입</t>
    <phoneticPr fontId="7" type="noConversion"/>
  </si>
  <si>
    <t>사용료및수수료수입</t>
    <phoneticPr fontId="7" type="noConversion"/>
  </si>
  <si>
    <t>사용료 및 수수료</t>
    <phoneticPr fontId="7" type="noConversion"/>
  </si>
  <si>
    <t>자산매각수입</t>
    <phoneticPr fontId="7" type="noConversion"/>
  </si>
  <si>
    <t>보증금회수</t>
    <phoneticPr fontId="7" type="noConversion"/>
  </si>
  <si>
    <t>임차보증금 회수</t>
    <phoneticPr fontId="7" type="noConversion"/>
  </si>
  <si>
    <t>기타자체수입</t>
    <phoneticPr fontId="7" type="noConversion"/>
  </si>
  <si>
    <t>이자수입</t>
    <phoneticPr fontId="7" type="noConversion"/>
  </si>
  <si>
    <t>잡수입</t>
    <phoneticPr fontId="7" type="noConversion"/>
  </si>
  <si>
    <t>전입금수입</t>
    <phoneticPr fontId="7" type="noConversion"/>
  </si>
  <si>
    <t>학교발전기금 전입금</t>
    <phoneticPr fontId="7" type="noConversion"/>
  </si>
  <si>
    <t>법인전입금</t>
    <phoneticPr fontId="7" type="noConversion"/>
  </si>
  <si>
    <t>일시차입금 차입</t>
    <phoneticPr fontId="7" type="noConversion"/>
  </si>
  <si>
    <t>장기차입금 차입</t>
    <phoneticPr fontId="7" type="noConversion"/>
  </si>
  <si>
    <t>기타수입</t>
    <phoneticPr fontId="7" type="noConversion"/>
  </si>
  <si>
    <t>지난년도수입</t>
    <phoneticPr fontId="7" type="noConversion"/>
  </si>
  <si>
    <t>적립금전입액</t>
    <phoneticPr fontId="7" type="noConversion"/>
  </si>
  <si>
    <t>환차익</t>
    <phoneticPr fontId="7" type="noConversion"/>
  </si>
  <si>
    <t>전년도이월금</t>
    <phoneticPr fontId="7" type="noConversion"/>
  </si>
  <si>
    <t>전년도이월사업비</t>
    <phoneticPr fontId="7" type="noConversion"/>
  </si>
  <si>
    <t>순세계잉여금</t>
    <phoneticPr fontId="7" type="noConversion"/>
  </si>
  <si>
    <t>세입합계</t>
    <phoneticPr fontId="7" type="noConversion"/>
  </si>
  <si>
    <t>유치원 5불 x 65명 x 185일 =</t>
    <phoneticPr fontId="7" type="noConversion"/>
  </si>
  <si>
    <t>초등학교 6불 x 240명 x 185일 =</t>
    <phoneticPr fontId="7" type="noConversion"/>
  </si>
  <si>
    <t>중고등학교 7불 x 150명 x 185일 =</t>
    <phoneticPr fontId="7" type="noConversion"/>
  </si>
  <si>
    <t>방학중_CCA 6불 x 120명 x 40일 =</t>
    <phoneticPr fontId="16" type="noConversion"/>
  </si>
  <si>
    <t>학기중_점심.저녁 285불 x 185일 =</t>
    <phoneticPr fontId="16" type="noConversion"/>
  </si>
  <si>
    <t>토요일_점심 7불 x 110명 x 38일 =</t>
    <phoneticPr fontId="16" type="noConversion"/>
  </si>
  <si>
    <t>CAFETERIA_학기중 80불 x 185일  =</t>
    <phoneticPr fontId="16" type="noConversion"/>
  </si>
  <si>
    <t>CAFETERIA_토요일 100불 x 38일 =</t>
    <phoneticPr fontId="16" type="noConversion"/>
  </si>
  <si>
    <t>학생 격려 30불 × 30명 × 4회 =</t>
    <phoneticPr fontId="7" type="noConversion"/>
  </si>
  <si>
    <t>유치원 3,210불 x 20명 =</t>
    <phoneticPr fontId="7" type="noConversion"/>
  </si>
  <si>
    <t>중학교 8,595.31불 x 62명 x 2학기 =</t>
    <phoneticPr fontId="7" type="noConversion"/>
  </si>
  <si>
    <t xml:space="preserve">방과후학교_유치원 50불 x 45명 x 3과목  x 5주 = </t>
    <phoneticPr fontId="7" type="noConversion"/>
  </si>
  <si>
    <t>현장체험학습_유치원 20불 x 59명 x 4회 =</t>
    <phoneticPr fontId="7" type="noConversion"/>
  </si>
  <si>
    <t>현장체험학습_초등학교 40불 x 247명 x 4회 =</t>
    <phoneticPr fontId="7" type="noConversion"/>
  </si>
  <si>
    <t xml:space="preserve">현장체험학습_중고 50불 x 70명 x 4회 = </t>
    <phoneticPr fontId="7" type="noConversion"/>
  </si>
  <si>
    <t>저소득층자녀학비지원 170,000불 x 1회 =</t>
    <phoneticPr fontId="7" type="noConversion"/>
  </si>
  <si>
    <t xml:space="preserve">교수학습자료구입 23,362불 x 1회 = </t>
    <phoneticPr fontId="7" type="noConversion"/>
  </si>
  <si>
    <t>잡수입_학교방문비 350불 x 20회 =</t>
    <phoneticPr fontId="7" type="noConversion"/>
  </si>
  <si>
    <t>잡수입_VENDING MACHINE 500불 x 12월 =</t>
    <phoneticPr fontId="7" type="noConversion"/>
  </si>
  <si>
    <t>임대료_강당사용료 400불 x 3회 =</t>
    <phoneticPr fontId="7" type="noConversion"/>
  </si>
  <si>
    <t>운영비 150,000불 x 4분기 =</t>
    <phoneticPr fontId="7" type="noConversion"/>
  </si>
  <si>
    <t xml:space="preserve">방과후학교_초등학교 오케스트라 1000불 x 15명 x 2분기 = </t>
    <phoneticPr fontId="16" type="noConversion"/>
  </si>
  <si>
    <t>AP 시험응시료 260불 × 50명=</t>
    <phoneticPr fontId="7" type="noConversion"/>
  </si>
  <si>
    <t>기타지출</t>
    <phoneticPr fontId="7" type="noConversion"/>
  </si>
  <si>
    <t>산출기초(단위 : SGD)</t>
    <phoneticPr fontId="7" type="noConversion"/>
  </si>
  <si>
    <t>&lt;1. 정규교원&gt;</t>
    <phoneticPr fontId="7" type="noConversion"/>
  </si>
  <si>
    <t>경력수당 14,000불 x 12월 =</t>
    <phoneticPr fontId="7" type="noConversion"/>
  </si>
  <si>
    <t>직책수당_교감 700불 x 1명 x 12월 =</t>
    <phoneticPr fontId="7" type="noConversion"/>
  </si>
  <si>
    <t>직책수당_부장 300불 x 12명 x 12월 =</t>
    <phoneticPr fontId="7" type="noConversion"/>
  </si>
  <si>
    <t>주택수당 1,500불 x 40명 x 12월 =</t>
    <phoneticPr fontId="7" type="noConversion"/>
  </si>
  <si>
    <t>담임수당_유치원 200불 x 4학급 x 12월 =</t>
    <phoneticPr fontId="7" type="noConversion"/>
  </si>
  <si>
    <t>담임수당_초등학교 200불 x 2명 x 11학급 x 12월 =</t>
    <phoneticPr fontId="7" type="noConversion"/>
  </si>
  <si>
    <t>담임수당_중학교 200불 x 1명 x 3학급 x 12월 =</t>
    <phoneticPr fontId="7" type="noConversion"/>
  </si>
  <si>
    <t>담임수당_고등학교 200불 x 2명 x 3학급 x 12월 =</t>
    <phoneticPr fontId="7" type="noConversion"/>
  </si>
  <si>
    <t>근속수당 7,000불 x 12월 =</t>
    <phoneticPr fontId="7" type="noConversion"/>
  </si>
  <si>
    <t>진로진학수당 100불 x 3명 x 12월 =</t>
    <phoneticPr fontId="7" type="noConversion"/>
  </si>
  <si>
    <t>보결수당_내부 10불 x 3교시 x 10명 x 12월 =</t>
    <phoneticPr fontId="7" type="noConversion"/>
  </si>
  <si>
    <t>초과근무수당 8,000불 x 12월 =</t>
    <phoneticPr fontId="7" type="noConversion"/>
  </si>
  <si>
    <t>명절휴가비 40,000불 x 2회 =</t>
    <phoneticPr fontId="7" type="noConversion"/>
  </si>
  <si>
    <t>CPF 기관부담금 25,000불 x 12월 x 17% =</t>
    <phoneticPr fontId="7" type="noConversion"/>
  </si>
  <si>
    <t>FWL,CDAC,SDL 기관부담금 4,000불 x 12월 =</t>
    <phoneticPr fontId="7" type="noConversion"/>
  </si>
  <si>
    <t>자녀학비수당 1,200불 x 38명 x 12월 =</t>
    <phoneticPr fontId="7" type="noConversion"/>
  </si>
  <si>
    <t>아침듀티수당 10불 x  3명 x 20일 x  9월 =</t>
    <phoneticPr fontId="7" type="noConversion"/>
  </si>
  <si>
    <t>소계</t>
    <phoneticPr fontId="7" type="noConversion"/>
  </si>
  <si>
    <t>&lt;1. 정규직원&gt;</t>
    <phoneticPr fontId="7" type="noConversion"/>
  </si>
  <si>
    <t>기본급 3,500불 x 20명 x 12월 =</t>
    <phoneticPr fontId="7" type="noConversion"/>
  </si>
  <si>
    <t>경력수당 2,500불 x 12월 =</t>
    <phoneticPr fontId="7" type="noConversion"/>
  </si>
  <si>
    <t>직책수당_국장 500불 x 1명 x 12월 =</t>
    <phoneticPr fontId="7" type="noConversion"/>
  </si>
  <si>
    <t>직책수당_팀장 300불 x 2명 x 12월 =</t>
    <phoneticPr fontId="7" type="noConversion"/>
  </si>
  <si>
    <t>직책수당_주임 200불 x 2명 x 12월 =</t>
    <phoneticPr fontId="7" type="noConversion"/>
  </si>
  <si>
    <t>주택수당 1,500불 x 10명 x 12월 =</t>
    <phoneticPr fontId="7" type="noConversion"/>
  </si>
  <si>
    <t>근속수당 6,000불 x 12월 =</t>
    <phoneticPr fontId="7" type="noConversion"/>
  </si>
  <si>
    <t>초과근무수당 4,000불 x 12월 =</t>
    <phoneticPr fontId="7" type="noConversion"/>
  </si>
  <si>
    <t>정기상여금 2,500불 x 1명 =</t>
    <phoneticPr fontId="7" type="noConversion"/>
  </si>
  <si>
    <t>명절휴가비 10,000불 x 2회 =</t>
    <phoneticPr fontId="7" type="noConversion"/>
  </si>
  <si>
    <t xml:space="preserve">연가보상비 400불 x 2명 x 12월 = </t>
    <phoneticPr fontId="7" type="noConversion"/>
  </si>
  <si>
    <t>CPF 기관부담금 10,000불 x 12월 x 17% =</t>
    <phoneticPr fontId="7" type="noConversion"/>
  </si>
  <si>
    <t>자녀학비수당 1,200불 x 6명 x 12월 =</t>
    <phoneticPr fontId="7" type="noConversion"/>
  </si>
  <si>
    <t>아침듀티수당 10불 x  2명 x 20일 x  9월 =</t>
    <phoneticPr fontId="7" type="noConversion"/>
  </si>
  <si>
    <t>&lt;2. 계약직&gt;</t>
    <phoneticPr fontId="7" type="noConversion"/>
  </si>
  <si>
    <t>01. 시간강사</t>
    <phoneticPr fontId="7" type="noConversion"/>
  </si>
  <si>
    <t>정규수업 강사비 8,020불 × 8월 =　</t>
    <phoneticPr fontId="7" type="noConversion"/>
  </si>
  <si>
    <t>CA수업 강사비 60불 × 7명 × 24회=　</t>
    <phoneticPr fontId="7" type="noConversion"/>
  </si>
  <si>
    <t>보결수당_외부 60불 x 5교시 x 2명 x 8월 =</t>
    <phoneticPr fontId="7" type="noConversion"/>
  </si>
  <si>
    <t>02. 계약제 교직원</t>
    <phoneticPr fontId="7" type="noConversion"/>
  </si>
  <si>
    <t xml:space="preserve">(목적사업비) 통학버스탑승도우미 13불 × 3시간 × 20일 × 9개월 × 4명 = </t>
    <phoneticPr fontId="7" type="noConversion"/>
  </si>
  <si>
    <t xml:space="preserve">유치원 보조교사 12불 × 8시간 × 20일 × 8개월 × 2명 = </t>
    <phoneticPr fontId="7" type="noConversion"/>
  </si>
  <si>
    <t>01. 일용직</t>
    <phoneticPr fontId="7" type="noConversion"/>
  </si>
  <si>
    <t>일용인부 100불 × 30일 × 2명 =　</t>
    <phoneticPr fontId="7" type="noConversion"/>
  </si>
  <si>
    <t>[사무국]</t>
    <phoneticPr fontId="7" type="noConversion"/>
  </si>
  <si>
    <t xml:space="preserve">전산장비유지보수 2,300불 x 12월 = </t>
    <phoneticPr fontId="7" type="noConversion"/>
  </si>
  <si>
    <t xml:space="preserve">학교차량 정비 400불 × 4대 × 12월 = </t>
    <phoneticPr fontId="7" type="noConversion"/>
  </si>
  <si>
    <t xml:space="preserve">시설유지보수 15,000불 × 12월 = </t>
    <phoneticPr fontId="7" type="noConversion"/>
  </si>
  <si>
    <t>에어컨유지보수 2,000불 × 12월 =</t>
    <phoneticPr fontId="7" type="noConversion"/>
  </si>
  <si>
    <t>기타유지보수 3,000불 × 4분기 =</t>
    <phoneticPr fontId="7" type="noConversion"/>
  </si>
  <si>
    <t>전화유지보수 2,000불 × 2회 =</t>
    <phoneticPr fontId="7" type="noConversion"/>
  </si>
  <si>
    <t>홍보 영상 제작비 2,000불 × 2회=</t>
    <phoneticPr fontId="7" type="noConversion"/>
  </si>
  <si>
    <t>홈페이지 및 전자결재 사용료 500불 × 2회 =</t>
    <phoneticPr fontId="7" type="noConversion"/>
  </si>
  <si>
    <t xml:space="preserve">은행수수료 100불 × 12월 = </t>
    <phoneticPr fontId="7" type="noConversion"/>
  </si>
  <si>
    <t>비자신청 및 발급_동반가족포함 250불 x 50명 =</t>
    <phoneticPr fontId="7" type="noConversion"/>
  </si>
  <si>
    <t>회계.급여 시스템 사용료 2,000불 x 1식 =</t>
    <phoneticPr fontId="7" type="noConversion"/>
  </si>
  <si>
    <t>자문회계사컨설팅 1,500불 x 4분기 =</t>
    <phoneticPr fontId="7" type="noConversion"/>
  </si>
  <si>
    <t>결산감사 10,000불 x 1회 =</t>
    <phoneticPr fontId="7" type="noConversion"/>
  </si>
  <si>
    <t>번역 및 자문 1,500불 x 3회 =</t>
    <phoneticPr fontId="7" type="noConversion"/>
  </si>
  <si>
    <t>청소용역 15,000불 x 12월 =</t>
    <phoneticPr fontId="7" type="noConversion"/>
  </si>
  <si>
    <t>정원관리용역 1,000불 x 12월 =</t>
    <phoneticPr fontId="7" type="noConversion"/>
  </si>
  <si>
    <t>야간경비용역 7,000불 x 12월 =</t>
    <phoneticPr fontId="7" type="noConversion"/>
  </si>
  <si>
    <t xml:space="preserve">화재방화점검 용역 500불 × 4분기 = </t>
    <phoneticPr fontId="7" type="noConversion"/>
  </si>
  <si>
    <t xml:space="preserve">학교방역 용역 1,500불 × 2회 × 4분기 = </t>
    <phoneticPr fontId="7" type="noConversion"/>
  </si>
  <si>
    <t>건물화재보험 등 15,000불 x 1회 =</t>
    <phoneticPr fontId="7" type="noConversion"/>
  </si>
  <si>
    <t>전기유지보수용역 1,000불 x 12월=</t>
    <phoneticPr fontId="7" type="noConversion"/>
  </si>
  <si>
    <t>통학버스 임차료 13,000불 × 2학기 =</t>
    <phoneticPr fontId="7" type="noConversion"/>
  </si>
  <si>
    <t>Field Trip 버스 임차료 200불 × 10회 =</t>
    <phoneticPr fontId="7" type="noConversion"/>
  </si>
  <si>
    <t>복사기 임차료 및 사용료 1,200불 x 8대 x 12월 =</t>
    <phoneticPr fontId="7" type="noConversion"/>
  </si>
  <si>
    <t xml:space="preserve">수도전기료 16,000불 x 12월 </t>
    <phoneticPr fontId="7" type="noConversion"/>
  </si>
  <si>
    <t>학교차량 보험료 3,500불 × 4대 =</t>
    <phoneticPr fontId="7" type="noConversion"/>
  </si>
  <si>
    <t xml:space="preserve">운송비 및 취급수수료 1,300불 × 12월 = </t>
    <phoneticPr fontId="7" type="noConversion"/>
  </si>
  <si>
    <t xml:space="preserve">NEST사용수수료 500불 x 12월 </t>
    <phoneticPr fontId="7" type="noConversion"/>
  </si>
  <si>
    <t xml:space="preserve">전화요금 2,000불 x 12월 </t>
    <phoneticPr fontId="7" type="noConversion"/>
  </si>
  <si>
    <t xml:space="preserve">우편요금 500불 x 12월 </t>
    <phoneticPr fontId="7" type="noConversion"/>
  </si>
  <si>
    <t xml:space="preserve">인터넷사용료 1,000불 x 12월 </t>
    <phoneticPr fontId="7" type="noConversion"/>
  </si>
  <si>
    <t xml:space="preserve">SMS사용료 1,000불 x 12월 </t>
    <phoneticPr fontId="7" type="noConversion"/>
  </si>
  <si>
    <t xml:space="preserve">토지재산세 11,000불 x 12월 </t>
    <phoneticPr fontId="7" type="noConversion"/>
  </si>
  <si>
    <t xml:space="preserve">GST 200,000불 x 2회 = </t>
    <phoneticPr fontId="7" type="noConversion"/>
  </si>
  <si>
    <t>학교차량 주유비 550불 × 4대 × 12월=</t>
    <phoneticPr fontId="7" type="noConversion"/>
  </si>
  <si>
    <t>국외_숙박비 200불 x 2명 x 5회 x 5일 =</t>
    <phoneticPr fontId="7" type="noConversion"/>
  </si>
  <si>
    <t>국외_식비 10불 x 2명 x 5회 x 5일 x 3식 =</t>
    <phoneticPr fontId="7" type="noConversion"/>
  </si>
  <si>
    <t>국외_체재비 100불 x 2명 x 5회 x 5일 =</t>
    <phoneticPr fontId="7" type="noConversion"/>
  </si>
  <si>
    <t>국외_신규교직원 이전비 1,000불 x 20명 =</t>
    <phoneticPr fontId="7" type="noConversion"/>
  </si>
  <si>
    <t>국외_신규교직원 채용 1,000불 x 3명 x 5일 =</t>
    <phoneticPr fontId="7" type="noConversion"/>
  </si>
  <si>
    <t>국내_교통비 30불 x 10명 x 5회 x 10월 =</t>
    <phoneticPr fontId="7" type="noConversion"/>
  </si>
  <si>
    <t>국내_식비 10불 x 10명 x 5회 x 10월 =</t>
    <phoneticPr fontId="7" type="noConversion"/>
  </si>
  <si>
    <t>프린터 소모품 구입 200불 × 10대 =</t>
    <phoneticPr fontId="7" type="noConversion"/>
  </si>
  <si>
    <t>프린터토너 구입 2,000불 × 12월 =</t>
    <phoneticPr fontId="7" type="noConversion"/>
  </si>
  <si>
    <t>사무용품 구입 12,000불 × 2분기 =</t>
    <phoneticPr fontId="7" type="noConversion"/>
  </si>
  <si>
    <t>기타소모품 구입 4,000불 × 12월 =</t>
    <phoneticPr fontId="7" type="noConversion"/>
  </si>
  <si>
    <t>도서관 소모품 구입 400불 × 2학기 =</t>
    <phoneticPr fontId="7" type="noConversion"/>
  </si>
  <si>
    <t>교직원 직무능력개발비 300불 × 20명 =</t>
    <phoneticPr fontId="7" type="noConversion"/>
  </si>
  <si>
    <t xml:space="preserve">전체 교직원 워크숍 50불 × 80명 × 2회 = </t>
    <phoneticPr fontId="7" type="noConversion"/>
  </si>
  <si>
    <t>교직원 외국어 연수 1,000불 × 3개강좌 × 2학기 =</t>
    <phoneticPr fontId="7" type="noConversion"/>
  </si>
  <si>
    <t>교직원 직무연수 500불 × 5명 × 2학기 =</t>
    <phoneticPr fontId="7" type="noConversion"/>
  </si>
  <si>
    <t>교직원 기타연수 500불 × 5명 × 2학기 =</t>
    <phoneticPr fontId="7" type="noConversion"/>
  </si>
  <si>
    <t>교직원 급량비 지원 2불 × 60명 × 185일 =</t>
    <phoneticPr fontId="7" type="noConversion"/>
  </si>
  <si>
    <t>교직원 특근매식비 7불 × 10명 × 185일 =</t>
    <phoneticPr fontId="7" type="noConversion"/>
  </si>
  <si>
    <t>학교운영위원회 연수비 1,000불 × 2회 =</t>
    <phoneticPr fontId="7" type="noConversion"/>
  </si>
  <si>
    <t>교직원채용 및 인터넷홍보 등 포스팅비 700불 × 12회 =</t>
    <phoneticPr fontId="7" type="noConversion"/>
  </si>
  <si>
    <t>Year-book 제작 및 인쇄 34불 × 600부 =</t>
    <phoneticPr fontId="7" type="noConversion"/>
  </si>
  <si>
    <t>캘린더 제작 및 인쇄 10불 × 600부 =</t>
    <phoneticPr fontId="7" type="noConversion"/>
  </si>
  <si>
    <t>학교홍보브로셔 제작 및 인쇄 13불 × 600부 =</t>
    <phoneticPr fontId="7" type="noConversion"/>
  </si>
  <si>
    <t>배너 및 기념품 구입 20불 × 1,000개 =</t>
    <phoneticPr fontId="7" type="noConversion"/>
  </si>
  <si>
    <t>모집요강브로셔 제작 13불 × 600부 =</t>
    <phoneticPr fontId="7" type="noConversion"/>
  </si>
  <si>
    <t>정기간행물구독 110불 × 2부 × 12월 =</t>
    <phoneticPr fontId="7" type="noConversion"/>
  </si>
  <si>
    <t xml:space="preserve">도서관 봉사자 급식비 지원 7불 × 2명 × 185일 = </t>
    <phoneticPr fontId="7" type="noConversion"/>
  </si>
  <si>
    <t xml:space="preserve">신규교직원 면접 경비 2,000불 × 1회 = </t>
    <phoneticPr fontId="7" type="noConversion"/>
  </si>
  <si>
    <t xml:space="preserve">학급별 워크숍 준비 30불 × 30명 × 5회 × 2학기 = </t>
    <phoneticPr fontId="7" type="noConversion"/>
  </si>
  <si>
    <t>정착준비금 500불 x 20명 =</t>
    <phoneticPr fontId="7" type="noConversion"/>
  </si>
  <si>
    <t>귀국지원금 500불 x 20명 =</t>
    <phoneticPr fontId="7" type="noConversion"/>
  </si>
  <si>
    <t>[초등]</t>
    <phoneticPr fontId="7" type="noConversion"/>
  </si>
  <si>
    <t xml:space="preserve">학부모급식모니터링 급식 지원 7불 × 3명 × 182일 = </t>
    <phoneticPr fontId="7" type="noConversion"/>
  </si>
  <si>
    <t>01. 입학식 및 졸업식 준비물품 구입</t>
    <phoneticPr fontId="7" type="noConversion"/>
  </si>
  <si>
    <t>[유치원]</t>
    <phoneticPr fontId="7" type="noConversion"/>
  </si>
  <si>
    <t xml:space="preserve">신입생 오리엔테이션 준비 5불 × 65명 = </t>
    <phoneticPr fontId="7" type="noConversion"/>
  </si>
  <si>
    <t>졸업식 선물 및 준비물품 25불 × 30명 × 1회 =</t>
    <phoneticPr fontId="7" type="noConversion"/>
  </si>
  <si>
    <t>입학식 준비 500불 × 1회 =</t>
    <phoneticPr fontId="7" type="noConversion"/>
  </si>
  <si>
    <t>졸업식 준비 1,000불 × 1회 =</t>
    <phoneticPr fontId="7" type="noConversion"/>
  </si>
  <si>
    <t xml:space="preserve">신입생 오리엔테이션 준비 10불 × 60명 = </t>
    <phoneticPr fontId="7" type="noConversion"/>
  </si>
  <si>
    <t>입학설명회 준비 10불 × 60명 =</t>
    <phoneticPr fontId="7" type="noConversion"/>
  </si>
  <si>
    <t>[중등]</t>
    <phoneticPr fontId="7" type="noConversion"/>
  </si>
  <si>
    <t xml:space="preserve">신입생 오리엔테이션 준비 5불 × 100명 × 1회 = </t>
    <phoneticPr fontId="7" type="noConversion"/>
  </si>
  <si>
    <t>입학설명회 준비_교내 5불 × 100명 × 1회 =</t>
    <phoneticPr fontId="7" type="noConversion"/>
  </si>
  <si>
    <t>입학설명회 준비_대학 400 × 10회 =</t>
    <phoneticPr fontId="7" type="noConversion"/>
  </si>
  <si>
    <t>02. 각종 대회 및 행사</t>
    <phoneticPr fontId="7" type="noConversion"/>
  </si>
  <si>
    <t>(교무부)1학기 행사 준비물품 구입 20불 × 65명 × 1회 =</t>
    <phoneticPr fontId="7" type="noConversion"/>
  </si>
  <si>
    <t>(연구부)1학기 행사 준비물품 구입 20불 × 65명 × 1회 =</t>
    <phoneticPr fontId="7" type="noConversion"/>
  </si>
  <si>
    <t xml:space="preserve">어린이날 선물 구입 10불 × 65명 × 1회 = </t>
    <phoneticPr fontId="7" type="noConversion"/>
  </si>
  <si>
    <t xml:space="preserve">한국전통문화 체험 자료 구입 20불 × 65명 × 6회 = </t>
    <phoneticPr fontId="7" type="noConversion"/>
  </si>
  <si>
    <t xml:space="preserve">국제교류 준비물품 구입 20불 × 65명 × 2회 = </t>
    <phoneticPr fontId="7" type="noConversion"/>
  </si>
  <si>
    <t xml:space="preserve">유초연계 준비물품 구입 10불 × 100명 = </t>
    <phoneticPr fontId="7" type="noConversion"/>
  </si>
  <si>
    <t xml:space="preserve">민속의 날 행사 1,000불 × 1회 = </t>
    <phoneticPr fontId="7" type="noConversion"/>
  </si>
  <si>
    <t xml:space="preserve">할로윈행사  10불 × 65명 =  </t>
    <phoneticPr fontId="7" type="noConversion"/>
  </si>
  <si>
    <t xml:space="preserve">크리스마스행사 20불 × 65명 =    </t>
    <phoneticPr fontId="7" type="noConversion"/>
  </si>
  <si>
    <t xml:space="preserve">International week 준비물품 구입 50불 × 65명 = </t>
    <phoneticPr fontId="7" type="noConversion"/>
  </si>
  <si>
    <t>과학의 날 준비 400불 × 22부스=</t>
    <phoneticPr fontId="7" type="noConversion"/>
  </si>
  <si>
    <t>독서교육 10불 × 254명=</t>
    <phoneticPr fontId="7" type="noConversion"/>
  </si>
  <si>
    <t xml:space="preserve">학년별 국제교류 활동 준비 40불 × 200명(2~5학년) × 2회 = </t>
    <phoneticPr fontId="7" type="noConversion"/>
  </si>
  <si>
    <t xml:space="preserve">영어캠프 활동 준비 70불 × 250명 = </t>
    <phoneticPr fontId="7" type="noConversion"/>
  </si>
  <si>
    <t xml:space="preserve">할로윈행사 &amp; 크리스마스 행사 준비 15불 × 250명 = </t>
    <phoneticPr fontId="7" type="noConversion"/>
  </si>
  <si>
    <t>중국어주간 행사 준비 30불 × 250명 =</t>
    <phoneticPr fontId="7" type="noConversion"/>
  </si>
  <si>
    <t>스포츠데이 운영 165불 × 12학급 × 2회 =</t>
    <phoneticPr fontId="7" type="noConversion"/>
  </si>
  <si>
    <t>오케스트라 정기연주회(대관료 등) 15,000불 × 1회 =</t>
    <phoneticPr fontId="7" type="noConversion"/>
  </si>
  <si>
    <t>심성수련 1,000불 × 1회 =</t>
    <phoneticPr fontId="7" type="noConversion"/>
  </si>
  <si>
    <t>RESERCH PROJECT 준비 10불 × 105명 =　</t>
    <phoneticPr fontId="7" type="noConversion"/>
  </si>
  <si>
    <t>ENGLISH DAY 준비 20불 × 160명 =　</t>
    <phoneticPr fontId="7" type="noConversion"/>
  </si>
  <si>
    <t>세계한국어웅변대회 준비 500불 × 1회 =　</t>
    <phoneticPr fontId="7" type="noConversion"/>
  </si>
  <si>
    <t>통일골든벨대회 준비 2,000불 × 1회 =　</t>
    <phoneticPr fontId="7" type="noConversion"/>
  </si>
  <si>
    <t>PI DAY(MATH) 준비 1,500불 × 1회 =</t>
    <phoneticPr fontId="7" type="noConversion"/>
  </si>
  <si>
    <t>SCIENCE FESTIVAL 준비 3,000불 × 1회 =　</t>
    <phoneticPr fontId="7" type="noConversion"/>
  </si>
  <si>
    <t xml:space="preserve">CHINESE DAY 준비 4,000불 × 1회 = </t>
    <phoneticPr fontId="7" type="noConversion"/>
  </si>
  <si>
    <t>독도행사 준비 1,000불 × 1회 =　</t>
    <phoneticPr fontId="7" type="noConversion"/>
  </si>
  <si>
    <t xml:space="preserve">국제교류 준비 50불 × 160명 ×2회 = </t>
    <phoneticPr fontId="7" type="noConversion"/>
  </si>
  <si>
    <t>SPORT DAY 운영 10불 × 160명 =　</t>
    <phoneticPr fontId="7" type="noConversion"/>
  </si>
  <si>
    <t>고3 2학기 통합교육과정운영 1,000불 × 5회 =</t>
    <phoneticPr fontId="7" type="noConversion"/>
  </si>
  <si>
    <t xml:space="preserve">공통 기타 행사 준비 1,000불 x 7회 = </t>
    <phoneticPr fontId="7" type="noConversion"/>
  </si>
  <si>
    <t xml:space="preserve">각종 대회 참가비 1,000불 x 2회 = </t>
    <phoneticPr fontId="7" type="noConversion"/>
  </si>
  <si>
    <t>소계</t>
    <phoneticPr fontId="7" type="noConversion"/>
  </si>
  <si>
    <t>03. 각종 인쇄</t>
    <phoneticPr fontId="7" type="noConversion"/>
  </si>
  <si>
    <t>[유치원]</t>
    <phoneticPr fontId="7" type="noConversion"/>
  </si>
  <si>
    <t>교육계획서 인쇄 50불 × 30부 =</t>
    <phoneticPr fontId="7" type="noConversion"/>
  </si>
  <si>
    <t>[초등]</t>
    <phoneticPr fontId="7" type="noConversion"/>
  </si>
  <si>
    <t>교육계획서 인쇄 50불 × 50부 =</t>
    <phoneticPr fontId="7" type="noConversion"/>
  </si>
  <si>
    <t>학교신문 인쇄 10불 × 400부 × 2학기 =</t>
    <phoneticPr fontId="7" type="noConversion"/>
  </si>
  <si>
    <t>[중등]</t>
    <phoneticPr fontId="7" type="noConversion"/>
  </si>
  <si>
    <t>학교신문 인쇄 10불 × 200부 ×2학기 =</t>
    <phoneticPr fontId="7" type="noConversion"/>
  </si>
  <si>
    <t>학생핸드북 인쇄 1,500불 × 1회  =　</t>
    <phoneticPr fontId="7" type="noConversion"/>
  </si>
  <si>
    <t>우수성 설명자료 인쇄 30불 × 300부 =　</t>
    <phoneticPr fontId="7" type="noConversion"/>
  </si>
  <si>
    <t>04. 학습준비물 및 교재.교구 구입</t>
    <phoneticPr fontId="7" type="noConversion"/>
  </si>
  <si>
    <t xml:space="preserve">학습준비물 구입 21불  × 75명 × 4회 = </t>
    <phoneticPr fontId="7" type="noConversion"/>
  </si>
  <si>
    <t>외국어 학습준비물 구입 20불 × 75명 × 4회 =</t>
    <phoneticPr fontId="7" type="noConversion"/>
  </si>
  <si>
    <t>공개수업 준비물 300불 × 4학급 × 2회 =</t>
    <phoneticPr fontId="7" type="noConversion"/>
  </si>
  <si>
    <t xml:space="preserve">교재교구 구입 50불 × 75명 × 2회 = </t>
    <phoneticPr fontId="7" type="noConversion"/>
  </si>
  <si>
    <t xml:space="preserve">학습준비물 구입 40불 × 250명 × 2회 = </t>
    <phoneticPr fontId="7" type="noConversion"/>
  </si>
  <si>
    <t>공개수업 준비물 50불 × 30명 × 1회 =</t>
    <phoneticPr fontId="7" type="noConversion"/>
  </si>
  <si>
    <t>창의영재 자료 구입 650불 × 8학급 × 2학기 =</t>
    <phoneticPr fontId="7" type="noConversion"/>
  </si>
  <si>
    <t>코딩교육 자료 구입 50불 × 50명 × 2학기 =</t>
    <phoneticPr fontId="7" type="noConversion"/>
  </si>
  <si>
    <t xml:space="preserve">동아리활동자료 구입 50불 × 26강좌 × 2학기 = </t>
    <phoneticPr fontId="7" type="noConversion"/>
  </si>
  <si>
    <t xml:space="preserve">코코싱수업자료 구입 100불 × 8개월 = </t>
    <phoneticPr fontId="7" type="noConversion"/>
  </si>
  <si>
    <t>악기 및 악보 구입 2,000불 × 5종 =　</t>
    <phoneticPr fontId="7" type="noConversion"/>
  </si>
  <si>
    <t>(신규사업 초등국제부)외국어 학습준비물 구입 12불 × 250명(학생) × 2회 + 400불 × 2회 × 7명(교사) =</t>
    <phoneticPr fontId="7" type="noConversion"/>
  </si>
  <si>
    <t>(신규사업 국제부)Myon 프로그램 운영비 1,000불 × 12월 =</t>
    <phoneticPr fontId="7" type="noConversion"/>
  </si>
  <si>
    <t xml:space="preserve">학습준비물 구입 50불 × 160명 × 2회 = </t>
    <phoneticPr fontId="7" type="noConversion"/>
  </si>
  <si>
    <t xml:space="preserve">교재 구입 50불 × 160명 × 2회 = </t>
    <phoneticPr fontId="7" type="noConversion"/>
  </si>
  <si>
    <t xml:space="preserve">교구 구입 50불 × 160명 × 2회 = </t>
    <phoneticPr fontId="7" type="noConversion"/>
  </si>
  <si>
    <t>공개수업 준비물 50불 × 23명 × 1회 =</t>
    <phoneticPr fontId="7" type="noConversion"/>
  </si>
  <si>
    <t>진로탐색 검사지 구입 1,000불 × 1회 =</t>
    <phoneticPr fontId="7" type="noConversion"/>
  </si>
  <si>
    <t>심리 검사지 구입비 1,000불 × 1회 =</t>
    <phoneticPr fontId="7" type="noConversion"/>
  </si>
  <si>
    <t>CA수업자료구입 50불 × 25강좌 × 1학기 =　</t>
    <phoneticPr fontId="7" type="noConversion"/>
  </si>
  <si>
    <t>악기 구입 500불 × 5종 =　</t>
    <phoneticPr fontId="7" type="noConversion"/>
  </si>
  <si>
    <t>과학학습자료구입 20불 × 160명× 2학기 =</t>
    <phoneticPr fontId="7" type="noConversion"/>
  </si>
  <si>
    <t xml:space="preserve">체육교구구입 6,000불 x 2회 = </t>
    <phoneticPr fontId="7" type="noConversion"/>
  </si>
  <si>
    <t>[사무국]</t>
    <phoneticPr fontId="7" type="noConversion"/>
  </si>
  <si>
    <t>학생외국어교재구입(영어,중국어) 60,000불 × 1회 =</t>
    <phoneticPr fontId="7" type="noConversion"/>
  </si>
  <si>
    <t>05. 학급운영비</t>
    <phoneticPr fontId="7" type="noConversion"/>
  </si>
  <si>
    <t xml:space="preserve">일반학급 500불 × 4학급 × 2학기 = </t>
    <phoneticPr fontId="7" type="noConversion"/>
  </si>
  <si>
    <t xml:space="preserve">레벨학급 500불 × 5학급 × 2학기 = </t>
    <phoneticPr fontId="7" type="noConversion"/>
  </si>
  <si>
    <t>상담실 1,000불 × 1회 =</t>
    <phoneticPr fontId="7" type="noConversion"/>
  </si>
  <si>
    <t>06. 기타 교수학습활동</t>
    <phoneticPr fontId="7" type="noConversion"/>
  </si>
  <si>
    <t xml:space="preserve">학부모연수 500불 × 2회 = </t>
    <phoneticPr fontId="7" type="noConversion"/>
  </si>
  <si>
    <t xml:space="preserve">학부모총회 10불 × 140명 = </t>
    <phoneticPr fontId="7" type="noConversion"/>
  </si>
  <si>
    <t>축구장 대여 150불 × 60회 =</t>
    <phoneticPr fontId="7" type="noConversion"/>
  </si>
  <si>
    <t>수영장 대여 150불 × 60회 =</t>
    <phoneticPr fontId="7" type="noConversion"/>
  </si>
  <si>
    <t>기타체육시설 대여 150불 × 30회 =</t>
    <phoneticPr fontId="7" type="noConversion"/>
  </si>
  <si>
    <t>(신규사업 생활인성부)성교육 및 성폭력예방교육 80불 X 14학급 X 1회=</t>
    <phoneticPr fontId="7" type="noConversion"/>
  </si>
  <si>
    <t>학부모연수 1,000불 × 2학기 =　</t>
    <phoneticPr fontId="7" type="noConversion"/>
  </si>
  <si>
    <t>학부모상담 준비 150불 × 6학급 × 2회 =　</t>
    <phoneticPr fontId="7" type="noConversion"/>
  </si>
  <si>
    <t xml:space="preserve">학부모총회 10불 × 100명 = </t>
    <phoneticPr fontId="7" type="noConversion"/>
  </si>
  <si>
    <t>기타교육시설 대여 150불 × 60회 =</t>
    <phoneticPr fontId="7" type="noConversion"/>
  </si>
  <si>
    <t>-</t>
    <phoneticPr fontId="7" type="noConversion"/>
  </si>
  <si>
    <t>01. 학생 동아리 지원</t>
    <phoneticPr fontId="7" type="noConversion"/>
  </si>
  <si>
    <t>학교신문부 지원 20불 × 15명 × 2학기 =</t>
    <phoneticPr fontId="7" type="noConversion"/>
  </si>
  <si>
    <t>사물놀이부 지원 5불 × 20명 × 15회 =</t>
    <phoneticPr fontId="7" type="noConversion"/>
  </si>
  <si>
    <t>오케스트라 지원 5불 × 50명 × 15회 =</t>
    <phoneticPr fontId="7" type="noConversion"/>
  </si>
  <si>
    <t>학생동아리활동 지원 100불 × 10개 × 2회 =　</t>
    <phoneticPr fontId="7" type="noConversion"/>
  </si>
  <si>
    <t>02. 저소득층 학비 지원</t>
    <phoneticPr fontId="7" type="noConversion"/>
  </si>
  <si>
    <t>(목적사업비) 저소득층자녀 학비지원 170,000불 × 1회 =</t>
    <phoneticPr fontId="7" type="noConversion"/>
  </si>
  <si>
    <t>03. 학생건강 및 안전관리</t>
    <phoneticPr fontId="7" type="noConversion"/>
  </si>
  <si>
    <t>학생교직원안전공제회비 25불 × 550명 =</t>
    <phoneticPr fontId="7" type="noConversion"/>
  </si>
  <si>
    <t>의약품 및 의료용품 구입 6,000불 × 2학기 =</t>
    <phoneticPr fontId="7" type="noConversion"/>
  </si>
  <si>
    <t>04. 기타학생지원</t>
    <phoneticPr fontId="7" type="noConversion"/>
  </si>
  <si>
    <t xml:space="preserve">전체조회 운영 50불×4회 = </t>
    <phoneticPr fontId="7" type="noConversion"/>
  </si>
  <si>
    <t>학생 자치회 운영 1,500불 × 2회 =　</t>
    <phoneticPr fontId="7" type="noConversion"/>
  </si>
  <si>
    <t>모범학생, Model Students, Attendance Voucher구입 2,000불 × 2회 =</t>
    <phoneticPr fontId="7" type="noConversion"/>
  </si>
  <si>
    <t>[초등 및 중등]</t>
    <phoneticPr fontId="7" type="noConversion"/>
  </si>
  <si>
    <t xml:space="preserve">(목적사업비) 특수교육지원 4,824불 x 1회 = </t>
    <phoneticPr fontId="7" type="noConversion"/>
  </si>
  <si>
    <t>01. 업무협의회</t>
    <phoneticPr fontId="7" type="noConversion"/>
  </si>
  <si>
    <t xml:space="preserve">교육과정 협의회 35불 × 13명 × 4회 = </t>
    <phoneticPr fontId="7" type="noConversion"/>
  </si>
  <si>
    <t xml:space="preserve">공개수업 협의회 35불 × 13명 × 2회 = </t>
    <phoneticPr fontId="7" type="noConversion"/>
  </si>
  <si>
    <t xml:space="preserve">교육과정협의회 35불 × 30명 × 4회 = </t>
    <phoneticPr fontId="7" type="noConversion"/>
  </si>
  <si>
    <t xml:space="preserve">영어행사 업무협의회 35불 × 20명 × 2회 = </t>
    <phoneticPr fontId="7" type="noConversion"/>
  </si>
  <si>
    <t>학교운영위원회 업무협의 35불 × 10명 × 4회 =</t>
    <phoneticPr fontId="7" type="noConversion"/>
  </si>
  <si>
    <t>사무국 업무협의 35불 × 25명 × 3팀 × 2회 =</t>
    <phoneticPr fontId="7" type="noConversion"/>
  </si>
  <si>
    <t>전체 교직원 업무협의 35불 × 80명 × 2회 =</t>
    <phoneticPr fontId="7" type="noConversion"/>
  </si>
  <si>
    <t>부킷티마교장단업무협의 35불 × 15명 × 4회 =</t>
    <phoneticPr fontId="7" type="noConversion"/>
  </si>
  <si>
    <t>기타 유관기관 업무협의 35불 × 15명 × 8회 =</t>
    <phoneticPr fontId="7" type="noConversion"/>
  </si>
  <si>
    <t>도서관 자원봉사자 업무협의 35불 × 12명 × 2학기 =</t>
    <phoneticPr fontId="7" type="noConversion"/>
  </si>
  <si>
    <t>교직원 경조사 500불 × 5명 =</t>
    <phoneticPr fontId="7" type="noConversion"/>
  </si>
  <si>
    <t>02. 워크숍 경비</t>
    <phoneticPr fontId="7" type="noConversion"/>
  </si>
  <si>
    <t>워크숍 경비 35불 × 11명 × 2회 =</t>
    <phoneticPr fontId="7" type="noConversion"/>
  </si>
  <si>
    <t>워크숍 경비 35불 × 30명 × 2회 =</t>
    <phoneticPr fontId="7" type="noConversion"/>
  </si>
  <si>
    <t>워크숍 경비 35불 × 26명 × 2회 =</t>
    <phoneticPr fontId="7" type="noConversion"/>
  </si>
  <si>
    <t>노후컴퓨터 교체 1,200불 × 15대 =</t>
    <phoneticPr fontId="7" type="noConversion"/>
  </si>
  <si>
    <t xml:space="preserve">노후프린터 교체 800불 x 2대 = </t>
    <phoneticPr fontId="7" type="noConversion"/>
  </si>
  <si>
    <t>노후에어컨 교체 4,000불 × 10대 =</t>
    <phoneticPr fontId="7" type="noConversion"/>
  </si>
  <si>
    <t>기타노후장비 교체 2,000불 x 8대 =</t>
    <phoneticPr fontId="7" type="noConversion"/>
  </si>
  <si>
    <t>학생 책걸상 교체 200불 x 10세트 =</t>
    <phoneticPr fontId="7" type="noConversion"/>
  </si>
  <si>
    <t>기타 비품구입 1,000불 × 8회 =</t>
    <phoneticPr fontId="7" type="noConversion"/>
  </si>
  <si>
    <t>도서 반납함 구입 1,100불×1개 =</t>
    <phoneticPr fontId="7" type="noConversion"/>
  </si>
  <si>
    <t>도서관 도서구입 15불 × 700권 × 2학기 =</t>
    <phoneticPr fontId="7" type="noConversion"/>
  </si>
  <si>
    <t>업무용 도서구입 20불 × 10권 × 2학기 =</t>
    <phoneticPr fontId="7" type="noConversion"/>
  </si>
  <si>
    <t>인건비 3,900불 x 6명 x 12월 =</t>
    <phoneticPr fontId="7" type="noConversion"/>
  </si>
  <si>
    <t>급식실파트타임 인건비 12불 x 6시간 x 20일 x 9개월 x 1명 =</t>
    <phoneticPr fontId="7" type="noConversion"/>
  </si>
  <si>
    <t>CPF기관부담금 3,550불 x 12월 =</t>
    <phoneticPr fontId="7" type="noConversion"/>
  </si>
  <si>
    <t>카페테리아재료비 2,500불 x 9월 =</t>
    <phoneticPr fontId="7" type="noConversion"/>
  </si>
  <si>
    <t>급식 모니터링 협의회 35불 x 6명 x 2회 =</t>
    <phoneticPr fontId="7" type="noConversion"/>
  </si>
  <si>
    <t>직원 협의회 35불 x 6명 x 4회 =</t>
    <phoneticPr fontId="7" type="noConversion"/>
  </si>
  <si>
    <t>가스비 1,100불 x 12월 =</t>
    <phoneticPr fontId="7" type="noConversion"/>
  </si>
  <si>
    <t>소모품구입 800불 x 12월 =</t>
    <phoneticPr fontId="7" type="noConversion"/>
  </si>
  <si>
    <t>식당하수도 청소 2,761불 x 1회 =</t>
    <phoneticPr fontId="7" type="noConversion"/>
  </si>
  <si>
    <t>후드청소 1,500불 x 1회 =</t>
    <phoneticPr fontId="7" type="noConversion"/>
  </si>
  <si>
    <t>식기세척기렌탈 및 세척제 1,500불 x 12월 =</t>
    <phoneticPr fontId="7" type="noConversion"/>
  </si>
  <si>
    <t>시설장비유지보수 1,500 x 12월 =</t>
    <phoneticPr fontId="7" type="noConversion"/>
  </si>
  <si>
    <t>출장비 200불 x 12월 =</t>
    <phoneticPr fontId="7" type="noConversion"/>
  </si>
  <si>
    <t>보증보험료 100불 x 1회 =</t>
    <phoneticPr fontId="7" type="noConversion"/>
  </si>
  <si>
    <t>건강검진 400불 x 6명 =</t>
    <phoneticPr fontId="7" type="noConversion"/>
  </si>
  <si>
    <t>각종수수료 400불 x 12월 =</t>
    <phoneticPr fontId="7" type="noConversion"/>
  </si>
  <si>
    <t xml:space="preserve">(수익자부담) 방과후학교 교육비 50불 x 45명 x 3과목 x 5주 = </t>
    <phoneticPr fontId="7" type="noConversion"/>
  </si>
  <si>
    <t>(수익자부담) 방과후학교_중학교 200불 x 50명 x 2학기 =</t>
    <phoneticPr fontId="7" type="noConversion"/>
  </si>
  <si>
    <t>(수익자부담) 방과후학교_고등학교 200불 x 60명 x 2학기 =</t>
    <phoneticPr fontId="7" type="noConversion"/>
  </si>
  <si>
    <t>유치원 20불 x 59명 x 4회 =</t>
    <phoneticPr fontId="7" type="noConversion"/>
  </si>
  <si>
    <t>현장체험학습 40불 x 247명 x 4회 =</t>
    <phoneticPr fontId="7" type="noConversion"/>
  </si>
  <si>
    <t xml:space="preserve">현장체험학습 50불 x 70명  x 4회 = </t>
    <phoneticPr fontId="7" type="noConversion"/>
  </si>
  <si>
    <t>AP 시험응시료 260불 × 50명=</t>
    <phoneticPr fontId="7" type="noConversion"/>
  </si>
  <si>
    <t>이자상환 5,000불 x 12월 =</t>
    <phoneticPr fontId="7" type="noConversion"/>
  </si>
  <si>
    <t>미디어부활동 지원 100불 × 12명× 2학기 =</t>
    <phoneticPr fontId="7" type="noConversion"/>
  </si>
  <si>
    <t>현악부 지원 5불 × 20명 × 15회 =</t>
    <phoneticPr fontId="7" type="noConversion"/>
  </si>
  <si>
    <t>학부모 간담회 10불 X 16명 X 4회 =</t>
    <phoneticPr fontId="7" type="noConversion"/>
  </si>
  <si>
    <t xml:space="preserve">일반학급 500불 × 11학급 × 2학기 = </t>
    <phoneticPr fontId="7" type="noConversion"/>
  </si>
  <si>
    <t>중학 일반학급 500불 × 3학급 × 2학기 =　</t>
    <phoneticPr fontId="7" type="noConversion"/>
  </si>
  <si>
    <t>고등 일반학급 500불 × 6학급 × 2학기 =　</t>
    <phoneticPr fontId="7" type="noConversion"/>
  </si>
  <si>
    <t>중등 행사 업무협의 35불 × 8명 × 2회 =</t>
    <phoneticPr fontId="7" type="noConversion"/>
  </si>
  <si>
    <t xml:space="preserve">공통 기타 행사 준비 1,000불 x 3회 = </t>
    <phoneticPr fontId="7" type="noConversion"/>
  </si>
  <si>
    <t>TOEFL Primary&amp;Junior TEST 응시료 (60$×125명+50$×86명+시험감독 9명×60$=</t>
    <phoneticPr fontId="7" type="noConversion"/>
  </si>
  <si>
    <t xml:space="preserve">인건비 312,000불 x 4분기 = </t>
    <phoneticPr fontId="7" type="noConversion"/>
  </si>
  <si>
    <t>기본급 3,678불 x 62명 x 12월 =</t>
    <phoneticPr fontId="7" type="noConversion"/>
  </si>
  <si>
    <t>유치원 5,729.85불 x 67명 x 2학기 =</t>
    <phoneticPr fontId="7" type="noConversion"/>
  </si>
  <si>
    <t xml:space="preserve">초등학교 6,011.26불 x 248명 x 2학기 = </t>
    <phoneticPr fontId="7" type="noConversion"/>
  </si>
  <si>
    <t>고등학교 10,673.25불 x 97명 x 2학기 =</t>
    <phoneticPr fontId="7" type="noConversion"/>
  </si>
  <si>
    <t xml:space="preserve">특이소요 179,876불 = </t>
    <phoneticPr fontId="7" type="noConversion"/>
  </si>
  <si>
    <t>이자 수입 5,104.75불 x 4회 =</t>
    <phoneticPr fontId="7" type="noConversion"/>
  </si>
  <si>
    <t>국외_항공료 1,000불 x 3명 x 5회 =</t>
    <phoneticPr fontId="7" type="noConversion"/>
  </si>
  <si>
    <t xml:space="preserve">과학학습자료 구입(슬기로운 생활 포함) 62불 × 250명 × 2학기 = </t>
    <phoneticPr fontId="7" type="noConversion"/>
  </si>
  <si>
    <t xml:space="preserve">(목적사업비) 방과후학교 교육비(KSL,C니,사물놀이,합창부,축구부 등) 10,000불 x 2학기 =  </t>
    <phoneticPr fontId="7" type="noConversion"/>
  </si>
  <si>
    <t xml:space="preserve">(목적사업비) 방과후학교 교육비 19,037불 * 1회 = </t>
    <phoneticPr fontId="7" type="noConversion"/>
  </si>
  <si>
    <t xml:space="preserve">방과후학교_초등학교 150불 x 250명 x 2학기 = </t>
    <phoneticPr fontId="7" type="noConversion"/>
  </si>
  <si>
    <t xml:space="preserve">(자부담) 특이소요 30,000불 = </t>
    <phoneticPr fontId="7" type="noConversion"/>
  </si>
  <si>
    <t>자산취득비</t>
    <phoneticPr fontId="7" type="noConversion"/>
  </si>
  <si>
    <t>적립금전출액</t>
    <phoneticPr fontId="7" type="noConversion"/>
  </si>
  <si>
    <t xml:space="preserve">(목적사업비) 교수학습자료구입 23,362불 x 1회 = </t>
    <phoneticPr fontId="7" type="noConversion"/>
  </si>
  <si>
    <t>워크숍 경비 35불 × 30명 × 3회 +350불 =</t>
    <phoneticPr fontId="7" type="noConversion"/>
  </si>
  <si>
    <t>소규모 시설보수 27,532불 × 4식 =</t>
    <phoneticPr fontId="7" type="noConversion"/>
  </si>
  <si>
    <t>중등 대학입학워크숍 35불×6회×3명 +170불 =</t>
    <phoneticPr fontId="7" type="noConversion"/>
  </si>
  <si>
    <t xml:space="preserve">(수익자부담) 방과후학교 교육비 150불 x 250명 x 2학기 +37불 = </t>
    <phoneticPr fontId="7" type="noConversion"/>
  </si>
  <si>
    <t xml:space="preserve">(수익자부담)방과후학교_초등학교 오케스트라 1000불 x 15명 x 2학기 = </t>
    <phoneticPr fontId="16" type="noConversion"/>
  </si>
  <si>
    <t>2020학년도 싱가포르한국국제학교회계 1차 추가경정 세출예산서</t>
    <phoneticPr fontId="7" type="noConversion"/>
  </si>
  <si>
    <t>2020학년도 싱가포르한국국제학교회계 1차 추가경정 세입예산서</t>
    <phoneticPr fontId="7" type="noConversion"/>
  </si>
  <si>
    <t>(신규사업)IPC 운영 23,940불×1년 =</t>
    <phoneticPr fontId="7" type="noConversion"/>
  </si>
  <si>
    <t>(신규사업)고등학생 영어공인시험 응시료 지원 
 1인당 60$ ×100명 =</t>
    <phoneticPr fontId="7" type="noConversion"/>
  </si>
  <si>
    <t xml:space="preserve">교구 및 악기 수리비용 500불 × 4회= </t>
    <phoneticPr fontId="7" type="noConversion"/>
  </si>
  <si>
    <t>(신규)오케스트라, 사물놀이 등 악기 수리비용 
500불 × 4회=</t>
    <phoneticPr fontId="7" type="noConversion"/>
  </si>
  <si>
    <t>급식재료비 28,031불 x 9월 =
(경정) 258,963 - (기정) 252,279
 *전년도 수익자급식비 잔액 반영($6,684)</t>
    <phoneticPr fontId="7" type="noConversion"/>
  </si>
  <si>
    <t>대출원금 상환 70,430불 x 6월 - 60,000불 x 6월 =
(경정)422,578불 - (기정)360,000불 =</t>
    <phoneticPr fontId="7" type="noConversion"/>
  </si>
  <si>
    <t>교실 증축 설계용역비 184,660불 × 1식 =
(경정) 267,090불 - (기정) 184,660 =</t>
    <phoneticPr fontId="7" type="noConversion"/>
  </si>
  <si>
    <t>(신규사업비)코로나 대응 물품 구입(원격수업 장비, 
마스크, 방역 등) 5,000불 ×8회 =</t>
    <phoneticPr fontId="7" type="noConversion"/>
  </si>
  <si>
    <t>-</t>
  </si>
  <si>
    <t>교사동 증축 공사 5,000,000중 반액 자부담
(1개년)1,200,000불 =</t>
    <phoneticPr fontId="7" type="noConversion"/>
  </si>
  <si>
    <t xml:space="preserve">이월금 1,620,000불 x 1회 =
 (경정)1,843,632.73불 - 1,620,000불 
 *수익자급식비 예산잔액 $6,684은 급식비 예산으로 집행 예정 </t>
    <phoneticPr fontId="7" type="noConversion"/>
  </si>
  <si>
    <t xml:space="preserve">(목적사업비) 특이소요 179,876불 x 1회 = </t>
    <phoneticPr fontId="7" type="noConversion"/>
  </si>
  <si>
    <t>싱가포르정부지원금 EMPLOYMENT CREDIT 37,000불 x 1회</t>
    <phoneticPr fontId="7" type="noConversion"/>
  </si>
  <si>
    <t>기정
예산액</t>
    <phoneticPr fontId="7" type="noConversion"/>
  </si>
  <si>
    <t>경정
예산액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</si>
</sst>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₩&quot;* #,##0.00_-;\-&quot;₩&quot;* #,##0.00_-;_-&quot;₩&quot;* &quot;-&quot;??_-;_-@_-"/>
    <numFmt numFmtId="176" formatCode="_(* #,##0.00_);_(* \(#,##0.00\);_(* &quot;-&quot;_);_(@_)"/>
    <numFmt numFmtId="177" formatCode="_(* #,##0_);_(* \(#,##0\);_(* &quot;-&quot;_);_(@_)"/>
    <numFmt numFmtId="178" formatCode="0.0%"/>
  </numFmts>
  <fonts count="22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name val="Arial"/>
      <family val="2"/>
    </font>
    <font>
      <sz val="10"/>
      <name val="굴림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0"/>
      <name val="굴림"/>
      <family val="3"/>
      <charset val="129"/>
    </font>
    <font>
      <sz val="11"/>
      <name val="맑은 고딕"/>
      <family val="3"/>
      <charset val="129"/>
      <scheme val="minor"/>
    </font>
    <font>
      <b/>
      <sz val="12"/>
      <color theme="1"/>
      <name val="굴림"/>
      <family val="3"/>
      <charset val="129"/>
    </font>
    <font>
      <b/>
      <sz val="9"/>
      <color theme="1"/>
      <name val="굴림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theme="1"/>
      </top>
      <bottom style="thin">
        <color theme="1"/>
      </bottom>
      <diagonal/>
    </border>
    <border>
      <left style="hair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ont="0" applyFill="0" applyBorder="0" applyAlignment="0" applyProtection="0"/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177" fontId="3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197">
    <xf numFmtId="0" fontId="0" fillId="0" borderId="0" xfId="0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4" fillId="0" borderId="0" xfId="2" applyFont="1">
      <alignment vertical="center"/>
    </xf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 shrinkToFit="1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horizontal="centerContinuous" vertical="center" shrinkToFit="1"/>
    </xf>
    <xf numFmtId="0" fontId="11" fillId="3" borderId="5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 shrinkToFit="1"/>
    </xf>
    <xf numFmtId="176" fontId="11" fillId="3" borderId="6" xfId="1" applyNumberFormat="1" applyFont="1" applyFill="1" applyBorder="1" applyAlignment="1">
      <alignment vertical="center" shrinkToFit="1"/>
    </xf>
    <xf numFmtId="0" fontId="12" fillId="0" borderId="10" xfId="0" applyFont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left" vertical="center" shrinkToFit="1"/>
    </xf>
    <xf numFmtId="176" fontId="11" fillId="4" borderId="12" xfId="1" applyNumberFormat="1" applyFont="1" applyFill="1" applyBorder="1" applyAlignment="1">
      <alignment vertical="center" shrinkToFit="1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 shrinkToFit="1"/>
    </xf>
    <xf numFmtId="176" fontId="12" fillId="0" borderId="12" xfId="1" applyNumberFormat="1" applyFont="1" applyBorder="1" applyAlignment="1">
      <alignment vertical="center" shrinkToFit="1"/>
    </xf>
    <xf numFmtId="176" fontId="12" fillId="0" borderId="0" xfId="1" applyNumberFormat="1" applyFont="1" applyBorder="1" applyAlignment="1">
      <alignment vertical="center"/>
    </xf>
    <xf numFmtId="0" fontId="12" fillId="0" borderId="11" xfId="0" applyFont="1" applyBorder="1" applyAlignment="1">
      <alignment horizontal="left" vertical="center" shrinkToFit="1"/>
    </xf>
    <xf numFmtId="176" fontId="12" fillId="0" borderId="11" xfId="1" applyNumberFormat="1" applyFont="1" applyBorder="1" applyAlignment="1">
      <alignment vertical="center" shrinkToFit="1"/>
    </xf>
    <xf numFmtId="176" fontId="12" fillId="0" borderId="14" xfId="1" applyNumberFormat="1" applyFont="1" applyBorder="1" applyAlignment="1">
      <alignment vertical="center"/>
    </xf>
    <xf numFmtId="0" fontId="12" fillId="0" borderId="7" xfId="0" applyFont="1" applyBorder="1" applyAlignment="1">
      <alignment horizontal="left" vertical="center" shrinkToFit="1"/>
    </xf>
    <xf numFmtId="176" fontId="12" fillId="0" borderId="7" xfId="1" applyNumberFormat="1" applyFont="1" applyBorder="1" applyAlignment="1">
      <alignment vertical="center" shrinkToFit="1"/>
    </xf>
    <xf numFmtId="0" fontId="11" fillId="4" borderId="6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 shrinkToFit="1"/>
    </xf>
    <xf numFmtId="176" fontId="11" fillId="4" borderId="6" xfId="1" applyNumberFormat="1" applyFont="1" applyFill="1" applyBorder="1" applyAlignment="1">
      <alignment vertical="center" shrinkToFit="1"/>
    </xf>
    <xf numFmtId="176" fontId="12" fillId="0" borderId="6" xfId="1" applyNumberFormat="1" applyFont="1" applyBorder="1" applyAlignment="1">
      <alignment vertical="center" shrinkToFit="1"/>
    </xf>
    <xf numFmtId="0" fontId="11" fillId="4" borderId="7" xfId="0" applyFont="1" applyFill="1" applyBorder="1" applyAlignment="1">
      <alignment horizontal="left" vertical="center" shrinkToFit="1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 shrinkToFit="1"/>
    </xf>
    <xf numFmtId="176" fontId="12" fillId="0" borderId="18" xfId="1" applyNumberFormat="1" applyFont="1" applyBorder="1" applyAlignment="1">
      <alignment vertical="center" shrinkToFit="1"/>
    </xf>
    <xf numFmtId="0" fontId="11" fillId="3" borderId="21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 shrinkToFit="1"/>
    </xf>
    <xf numFmtId="176" fontId="11" fillId="3" borderId="7" xfId="1" applyNumberFormat="1" applyFont="1" applyFill="1" applyBorder="1" applyAlignment="1">
      <alignment vertical="center" shrinkToFit="1"/>
    </xf>
    <xf numFmtId="0" fontId="12" fillId="0" borderId="6" xfId="0" applyFont="1" applyBorder="1" applyAlignment="1">
      <alignment horizontal="left" vertical="center" shrinkToFit="1"/>
    </xf>
    <xf numFmtId="0" fontId="11" fillId="6" borderId="22" xfId="0" applyFont="1" applyFill="1" applyBorder="1" applyAlignment="1">
      <alignment horizontal="centerContinuous" vertical="center"/>
    </xf>
    <xf numFmtId="0" fontId="11" fillId="6" borderId="19" xfId="0" applyFont="1" applyFill="1" applyBorder="1" applyAlignment="1">
      <alignment horizontal="centerContinuous" vertical="center"/>
    </xf>
    <xf numFmtId="0" fontId="11" fillId="6" borderId="19" xfId="0" applyFont="1" applyFill="1" applyBorder="1" applyAlignment="1">
      <alignment horizontal="centerContinuous" vertical="center" shrinkToFit="1"/>
    </xf>
    <xf numFmtId="176" fontId="11" fillId="6" borderId="19" xfId="0" applyNumberFormat="1" applyFont="1" applyFill="1" applyBorder="1" applyAlignment="1">
      <alignment vertical="center" shrinkToFit="1"/>
    </xf>
    <xf numFmtId="177" fontId="14" fillId="0" borderId="11" xfId="1" applyNumberFormat="1" applyFont="1" applyBorder="1" applyAlignment="1">
      <alignment vertical="center" wrapText="1"/>
    </xf>
    <xf numFmtId="176" fontId="14" fillId="0" borderId="14" xfId="1" applyNumberFormat="1" applyFont="1" applyBorder="1" applyAlignment="1">
      <alignment vertical="center"/>
    </xf>
    <xf numFmtId="177" fontId="14" fillId="0" borderId="7" xfId="1" applyNumberFormat="1" applyFont="1" applyBorder="1" applyAlignment="1">
      <alignment vertical="center" wrapText="1"/>
    </xf>
    <xf numFmtId="176" fontId="14" fillId="0" borderId="8" xfId="1" applyNumberFormat="1" applyFont="1" applyBorder="1" applyAlignment="1">
      <alignment vertical="center"/>
    </xf>
    <xf numFmtId="177" fontId="14" fillId="0" borderId="11" xfId="1" applyNumberFormat="1" applyFont="1" applyFill="1" applyBorder="1" applyAlignment="1">
      <alignment vertical="center" wrapText="1"/>
    </xf>
    <xf numFmtId="176" fontId="14" fillId="0" borderId="14" xfId="1" applyNumberFormat="1" applyFont="1" applyFill="1" applyBorder="1" applyAlignment="1">
      <alignment vertical="center"/>
    </xf>
    <xf numFmtId="177" fontId="14" fillId="0" borderId="11" xfId="1" applyNumberFormat="1" applyFont="1" applyBorder="1" applyAlignment="1">
      <alignment vertical="center" shrinkToFit="1"/>
    </xf>
    <xf numFmtId="176" fontId="12" fillId="0" borderId="23" xfId="1" applyNumberFormat="1" applyFont="1" applyBorder="1" applyAlignment="1">
      <alignment vertical="center" shrinkToFit="1"/>
    </xf>
    <xf numFmtId="0" fontId="3" fillId="0" borderId="0" xfId="10">
      <alignment vertical="center"/>
    </xf>
    <xf numFmtId="0" fontId="10" fillId="0" borderId="0" xfId="10" applyFont="1" applyBorder="1" applyAlignment="1">
      <alignment horizontal="left" vertical="center"/>
    </xf>
    <xf numFmtId="0" fontId="10" fillId="0" borderId="0" xfId="10" applyFont="1" applyBorder="1" applyAlignment="1">
      <alignment horizontal="center" vertical="center"/>
    </xf>
    <xf numFmtId="0" fontId="11" fillId="2" borderId="1" xfId="10" applyFont="1" applyFill="1" applyBorder="1" applyAlignment="1">
      <alignment horizontal="centerContinuous" vertical="center"/>
    </xf>
    <xf numFmtId="0" fontId="11" fillId="2" borderId="2" xfId="10" applyFont="1" applyFill="1" applyBorder="1" applyAlignment="1">
      <alignment horizontal="centerContinuous" vertical="center"/>
    </xf>
    <xf numFmtId="0" fontId="11" fillId="2" borderId="5" xfId="10" applyFont="1" applyFill="1" applyBorder="1" applyAlignment="1">
      <alignment horizontal="centerContinuous" vertical="center"/>
    </xf>
    <xf numFmtId="0" fontId="11" fillId="2" borderId="6" xfId="10" applyFont="1" applyFill="1" applyBorder="1" applyAlignment="1">
      <alignment horizontal="centerContinuous" vertical="center"/>
    </xf>
    <xf numFmtId="0" fontId="11" fillId="3" borderId="5" xfId="10" applyFont="1" applyFill="1" applyBorder="1" applyAlignment="1">
      <alignment horizontal="left" vertical="center"/>
    </xf>
    <xf numFmtId="0" fontId="11" fillId="3" borderId="6" xfId="10" applyFont="1" applyFill="1" applyBorder="1" applyAlignment="1">
      <alignment horizontal="left" vertical="center"/>
    </xf>
    <xf numFmtId="176" fontId="11" fillId="3" borderId="6" xfId="11" applyNumberFormat="1" applyFont="1" applyFill="1" applyBorder="1" applyAlignment="1">
      <alignment vertical="center"/>
    </xf>
    <xf numFmtId="177" fontId="11" fillId="3" borderId="6" xfId="11" applyFont="1" applyFill="1" applyBorder="1" applyAlignment="1">
      <alignment vertical="center"/>
    </xf>
    <xf numFmtId="0" fontId="12" fillId="0" borderId="10" xfId="10" applyFont="1" applyBorder="1" applyAlignment="1">
      <alignment horizontal="left" vertical="center"/>
    </xf>
    <xf numFmtId="0" fontId="11" fillId="4" borderId="7" xfId="10" applyFont="1" applyFill="1" applyBorder="1" applyAlignment="1">
      <alignment horizontal="left" vertical="center"/>
    </xf>
    <xf numFmtId="176" fontId="11" fillId="4" borderId="6" xfId="11" applyNumberFormat="1" applyFont="1" applyFill="1" applyBorder="1" applyAlignment="1">
      <alignment vertical="center"/>
    </xf>
    <xf numFmtId="0" fontId="12" fillId="0" borderId="11" xfId="10" applyFont="1" applyBorder="1" applyAlignment="1">
      <alignment horizontal="left" vertical="center"/>
    </xf>
    <xf numFmtId="0" fontId="12" fillId="0" borderId="12" xfId="10" applyFont="1" applyBorder="1" applyAlignment="1">
      <alignment horizontal="left" vertical="center"/>
    </xf>
    <xf numFmtId="176" fontId="12" fillId="0" borderId="12" xfId="11" applyNumberFormat="1" applyFont="1" applyBorder="1" applyAlignment="1">
      <alignment vertical="center"/>
    </xf>
    <xf numFmtId="176" fontId="12" fillId="0" borderId="11" xfId="11" applyNumberFormat="1" applyFont="1" applyBorder="1" applyAlignment="1">
      <alignment vertical="center"/>
    </xf>
    <xf numFmtId="0" fontId="12" fillId="0" borderId="7" xfId="10" applyFont="1" applyBorder="1" applyAlignment="1">
      <alignment horizontal="left" vertical="center"/>
    </xf>
    <xf numFmtId="176" fontId="12" fillId="0" borderId="7" xfId="11" applyNumberFormat="1" applyFont="1" applyBorder="1" applyAlignment="1">
      <alignment vertical="center"/>
    </xf>
    <xf numFmtId="0" fontId="11" fillId="4" borderId="6" xfId="10" applyFont="1" applyFill="1" applyBorder="1" applyAlignment="1">
      <alignment horizontal="left" vertical="center"/>
    </xf>
    <xf numFmtId="0" fontId="12" fillId="0" borderId="6" xfId="10" applyFont="1" applyBorder="1" applyAlignment="1">
      <alignment horizontal="left" vertical="center"/>
    </xf>
    <xf numFmtId="176" fontId="12" fillId="0" borderId="6" xfId="11" applyNumberFormat="1" applyFont="1" applyBorder="1" applyAlignment="1">
      <alignment vertical="center"/>
    </xf>
    <xf numFmtId="176" fontId="12" fillId="0" borderId="11" xfId="11" applyNumberFormat="1" applyFont="1" applyBorder="1" applyAlignment="1">
      <alignment horizontal="right" vertical="center"/>
    </xf>
    <xf numFmtId="176" fontId="12" fillId="0" borderId="6" xfId="11" applyNumberFormat="1" applyFont="1" applyBorder="1" applyAlignment="1">
      <alignment horizontal="right" vertical="center"/>
    </xf>
    <xf numFmtId="0" fontId="11" fillId="6" borderId="22" xfId="10" applyFont="1" applyFill="1" applyBorder="1" applyAlignment="1">
      <alignment horizontal="centerContinuous" vertical="center"/>
    </xf>
    <xf numFmtId="0" fontId="11" fillId="6" borderId="19" xfId="10" applyFont="1" applyFill="1" applyBorder="1" applyAlignment="1">
      <alignment horizontal="centerContinuous" vertical="center"/>
    </xf>
    <xf numFmtId="176" fontId="11" fillId="6" borderId="19" xfId="10" applyNumberFormat="1" applyFont="1" applyFill="1" applyBorder="1" applyAlignment="1">
      <alignment vertical="center"/>
    </xf>
    <xf numFmtId="0" fontId="10" fillId="0" borderId="0" xfId="10" applyFont="1" applyFill="1" applyBorder="1" applyAlignment="1">
      <alignment horizontal="centerContinuous" vertical="center"/>
    </xf>
    <xf numFmtId="0" fontId="3" fillId="0" borderId="0" xfId="10" applyAlignment="1">
      <alignment vertical="center"/>
    </xf>
    <xf numFmtId="3" fontId="3" fillId="0" borderId="0" xfId="10" applyNumberFormat="1" applyAlignment="1">
      <alignment horizontal="right" vertical="center"/>
    </xf>
    <xf numFmtId="0" fontId="14" fillId="0" borderId="11" xfId="4" applyFont="1" applyBorder="1">
      <alignment vertical="center"/>
    </xf>
    <xf numFmtId="0" fontId="12" fillId="0" borderId="11" xfId="3" applyFont="1" applyBorder="1" applyAlignment="1">
      <alignment horizontal="left" vertical="center" shrinkToFit="1"/>
    </xf>
    <xf numFmtId="176" fontId="0" fillId="0" borderId="0" xfId="0" applyNumberFormat="1">
      <alignment vertical="center"/>
    </xf>
    <xf numFmtId="0" fontId="12" fillId="0" borderId="7" xfId="3" applyFont="1" applyBorder="1" applyAlignment="1">
      <alignment horizontal="left" vertical="center" shrinkToFit="1"/>
    </xf>
    <xf numFmtId="177" fontId="12" fillId="0" borderId="11" xfId="1" applyNumberFormat="1" applyFont="1" applyBorder="1" applyAlignment="1">
      <alignment vertical="center" wrapText="1"/>
    </xf>
    <xf numFmtId="0" fontId="0" fillId="0" borderId="0" xfId="0" applyFont="1">
      <alignment vertical="center"/>
    </xf>
    <xf numFmtId="0" fontId="12" fillId="0" borderId="11" xfId="4" applyFont="1" applyBorder="1">
      <alignment vertical="center"/>
    </xf>
    <xf numFmtId="0" fontId="12" fillId="0" borderId="7" xfId="4" applyFont="1" applyBorder="1">
      <alignment vertical="center"/>
    </xf>
    <xf numFmtId="0" fontId="12" fillId="0" borderId="12" xfId="3" applyFont="1" applyBorder="1" applyAlignment="1">
      <alignment horizontal="left" vertical="center" shrinkToFit="1"/>
    </xf>
    <xf numFmtId="176" fontId="12" fillId="0" borderId="13" xfId="11" applyNumberFormat="1" applyFont="1" applyBorder="1" applyAlignment="1">
      <alignment vertical="center"/>
    </xf>
    <xf numFmtId="176" fontId="12" fillId="0" borderId="14" xfId="11" applyNumberFormat="1" applyFont="1" applyBorder="1" applyAlignment="1">
      <alignment vertical="center"/>
    </xf>
    <xf numFmtId="176" fontId="12" fillId="0" borderId="8" xfId="11" applyNumberFormat="1" applyFont="1" applyBorder="1" applyAlignment="1">
      <alignment vertical="center"/>
    </xf>
    <xf numFmtId="0" fontId="11" fillId="5" borderId="6" xfId="3" applyFont="1" applyFill="1" applyBorder="1" applyAlignment="1">
      <alignment horizontal="left" vertical="center" shrinkToFit="1"/>
    </xf>
    <xf numFmtId="176" fontId="11" fillId="5" borderId="9" xfId="11" applyNumberFormat="1" applyFont="1" applyFill="1" applyBorder="1" applyAlignment="1">
      <alignment vertical="center"/>
    </xf>
    <xf numFmtId="0" fontId="12" fillId="0" borderId="24" xfId="3" applyFont="1" applyBorder="1" applyAlignment="1">
      <alignment horizontal="left" vertical="center" shrinkToFit="1"/>
    </xf>
    <xf numFmtId="176" fontId="12" fillId="0" borderId="25" xfId="11" applyNumberFormat="1" applyFont="1" applyBorder="1" applyAlignment="1">
      <alignment vertical="center"/>
    </xf>
    <xf numFmtId="177" fontId="12" fillId="0" borderId="6" xfId="11" applyFont="1" applyBorder="1" applyAlignment="1">
      <alignment vertical="center" wrapText="1"/>
    </xf>
    <xf numFmtId="176" fontId="12" fillId="0" borderId="9" xfId="11" applyNumberFormat="1" applyFont="1" applyBorder="1" applyAlignment="1">
      <alignment vertical="center"/>
    </xf>
    <xf numFmtId="177" fontId="11" fillId="3" borderId="6" xfId="11" applyFont="1" applyFill="1" applyBorder="1" applyAlignment="1">
      <alignment vertical="center" wrapText="1"/>
    </xf>
    <xf numFmtId="176" fontId="11" fillId="3" borderId="9" xfId="11" applyNumberFormat="1" applyFont="1" applyFill="1" applyBorder="1" applyAlignment="1">
      <alignment vertical="center"/>
    </xf>
    <xf numFmtId="177" fontId="11" fillId="4" borderId="6" xfId="11" applyFont="1" applyFill="1" applyBorder="1" applyAlignment="1">
      <alignment vertical="center" wrapText="1"/>
    </xf>
    <xf numFmtId="176" fontId="11" fillId="4" borderId="9" xfId="11" applyNumberFormat="1" applyFont="1" applyFill="1" applyBorder="1" applyAlignment="1">
      <alignment vertical="center"/>
    </xf>
    <xf numFmtId="177" fontId="12" fillId="0" borderId="12" xfId="11" applyFont="1" applyBorder="1" applyAlignment="1">
      <alignment vertical="center"/>
    </xf>
    <xf numFmtId="177" fontId="12" fillId="0" borderId="11" xfId="11" applyFont="1" applyBorder="1" applyAlignment="1">
      <alignment vertical="center"/>
    </xf>
    <xf numFmtId="177" fontId="12" fillId="0" borderId="7" xfId="11" applyFont="1" applyBorder="1" applyAlignment="1">
      <alignment vertical="center"/>
    </xf>
    <xf numFmtId="0" fontId="12" fillId="0" borderId="11" xfId="3" applyFont="1" applyFill="1" applyBorder="1" applyAlignment="1">
      <alignment horizontal="left" vertical="center" shrinkToFit="1"/>
    </xf>
    <xf numFmtId="176" fontId="12" fillId="0" borderId="14" xfId="11" applyNumberFormat="1" applyFont="1" applyFill="1" applyBorder="1" applyAlignment="1">
      <alignment vertical="center"/>
    </xf>
    <xf numFmtId="44" fontId="3" fillId="0" borderId="0" xfId="10" applyNumberFormat="1">
      <alignment vertical="center"/>
    </xf>
    <xf numFmtId="0" fontId="2" fillId="0" borderId="0" xfId="10" applyFont="1" applyAlignment="1">
      <alignment vertical="center" wrapText="1"/>
    </xf>
    <xf numFmtId="177" fontId="11" fillId="3" borderId="9" xfId="11" applyFont="1" applyFill="1" applyBorder="1" applyAlignment="1">
      <alignment vertical="center"/>
    </xf>
    <xf numFmtId="177" fontId="11" fillId="4" borderId="9" xfId="11" applyFont="1" applyFill="1" applyBorder="1" applyAlignment="1">
      <alignment vertical="center"/>
    </xf>
    <xf numFmtId="177" fontId="11" fillId="4" borderId="12" xfId="11" applyFont="1" applyFill="1" applyBorder="1" applyAlignment="1">
      <alignment vertical="center" wrapText="1"/>
    </xf>
    <xf numFmtId="176" fontId="11" fillId="4" borderId="13" xfId="11" applyNumberFormat="1" applyFont="1" applyFill="1" applyBorder="1" applyAlignment="1">
      <alignment vertical="center"/>
    </xf>
    <xf numFmtId="0" fontId="12" fillId="0" borderId="12" xfId="4" applyFont="1" applyBorder="1">
      <alignment vertical="center"/>
    </xf>
    <xf numFmtId="177" fontId="11" fillId="3" borderId="7" xfId="11" applyFont="1" applyFill="1" applyBorder="1" applyAlignment="1">
      <alignment vertical="center" wrapText="1"/>
    </xf>
    <xf numFmtId="176" fontId="11" fillId="3" borderId="8" xfId="11" applyNumberFormat="1" applyFont="1" applyFill="1" applyBorder="1" applyAlignment="1">
      <alignment vertical="center"/>
    </xf>
    <xf numFmtId="0" fontId="12" fillId="0" borderId="11" xfId="3" applyFont="1" applyBorder="1" applyAlignment="1">
      <alignment horizontal="center" vertical="center" shrinkToFit="1"/>
    </xf>
    <xf numFmtId="176" fontId="12" fillId="0" borderId="14" xfId="11" applyNumberFormat="1" applyFont="1" applyBorder="1" applyAlignment="1">
      <alignment horizontal="right" vertical="center"/>
    </xf>
    <xf numFmtId="177" fontId="12" fillId="0" borderId="6" xfId="11" applyFont="1" applyBorder="1" applyAlignment="1">
      <alignment horizontal="center" vertical="center" wrapText="1"/>
    </xf>
    <xf numFmtId="176" fontId="12" fillId="0" borderId="9" xfId="11" applyNumberFormat="1" applyFont="1" applyBorder="1" applyAlignment="1">
      <alignment horizontal="right" vertical="center"/>
    </xf>
    <xf numFmtId="177" fontId="11" fillId="6" borderId="19" xfId="10" applyNumberFormat="1" applyFont="1" applyFill="1" applyBorder="1" applyAlignment="1">
      <alignment vertical="center" wrapText="1"/>
    </xf>
    <xf numFmtId="176" fontId="11" fillId="6" borderId="20" xfId="10" applyNumberFormat="1" applyFont="1" applyFill="1" applyBorder="1" applyAlignment="1">
      <alignment vertical="center"/>
    </xf>
    <xf numFmtId="0" fontId="2" fillId="0" borderId="0" xfId="10" applyFont="1">
      <alignment vertical="center"/>
    </xf>
    <xf numFmtId="0" fontId="17" fillId="0" borderId="0" xfId="2" applyFont="1" applyAlignment="1">
      <alignment vertical="center" wrapText="1"/>
    </xf>
    <xf numFmtId="0" fontId="17" fillId="0" borderId="0" xfId="2" applyFont="1">
      <alignment vertical="center"/>
    </xf>
    <xf numFmtId="177" fontId="18" fillId="3" borderId="6" xfId="1" applyNumberFormat="1" applyFont="1" applyFill="1" applyBorder="1" applyAlignment="1">
      <alignment vertical="center" wrapText="1"/>
    </xf>
    <xf numFmtId="177" fontId="18" fillId="3" borderId="9" xfId="1" applyNumberFormat="1" applyFont="1" applyFill="1" applyBorder="1" applyAlignment="1">
      <alignment vertical="center"/>
    </xf>
    <xf numFmtId="177" fontId="18" fillId="4" borderId="12" xfId="1" applyNumberFormat="1" applyFont="1" applyFill="1" applyBorder="1" applyAlignment="1">
      <alignment vertical="center" wrapText="1"/>
    </xf>
    <xf numFmtId="177" fontId="18" fillId="4" borderId="13" xfId="1" applyNumberFormat="1" applyFont="1" applyFill="1" applyBorder="1" applyAlignment="1">
      <alignment vertical="center"/>
    </xf>
    <xf numFmtId="177" fontId="18" fillId="0" borderId="12" xfId="1" applyNumberFormat="1" applyFont="1" applyBorder="1" applyAlignment="1">
      <alignment vertical="center" wrapText="1"/>
    </xf>
    <xf numFmtId="176" fontId="14" fillId="0" borderId="13" xfId="1" applyNumberFormat="1" applyFont="1" applyBorder="1" applyAlignment="1">
      <alignment vertical="center"/>
    </xf>
    <xf numFmtId="0" fontId="14" fillId="0" borderId="11" xfId="3" applyFont="1" applyBorder="1" applyAlignment="1">
      <alignment horizontal="left" vertical="center" shrinkToFit="1"/>
    </xf>
    <xf numFmtId="177" fontId="18" fillId="5" borderId="7" xfId="1" applyNumberFormat="1" applyFont="1" applyFill="1" applyBorder="1" applyAlignment="1">
      <alignment vertical="center" wrapText="1"/>
    </xf>
    <xf numFmtId="176" fontId="18" fillId="5" borderId="8" xfId="1" applyNumberFormat="1" applyFont="1" applyFill="1" applyBorder="1" applyAlignment="1">
      <alignment vertical="center"/>
    </xf>
    <xf numFmtId="177" fontId="18" fillId="4" borderId="6" xfId="1" applyNumberFormat="1" applyFont="1" applyFill="1" applyBorder="1" applyAlignment="1">
      <alignment vertical="center" wrapText="1"/>
    </xf>
    <xf numFmtId="176" fontId="18" fillId="4" borderId="9" xfId="1" applyNumberFormat="1" applyFont="1" applyFill="1" applyBorder="1" applyAlignment="1">
      <alignment vertical="center"/>
    </xf>
    <xf numFmtId="177" fontId="18" fillId="5" borderId="6" xfId="1" applyNumberFormat="1" applyFont="1" applyFill="1" applyBorder="1" applyAlignment="1">
      <alignment vertical="center" wrapText="1"/>
    </xf>
    <xf numFmtId="176" fontId="18" fillId="5" borderId="9" xfId="1" applyNumberFormat="1" applyFont="1" applyFill="1" applyBorder="1" applyAlignment="1">
      <alignment vertical="center"/>
    </xf>
    <xf numFmtId="177" fontId="18" fillId="0" borderId="11" xfId="1" applyNumberFormat="1" applyFont="1" applyBorder="1" applyAlignment="1">
      <alignment vertical="center" wrapText="1"/>
    </xf>
    <xf numFmtId="177" fontId="14" fillId="0" borderId="11" xfId="1" applyNumberFormat="1" applyFont="1" applyFill="1" applyBorder="1" applyAlignment="1">
      <alignment vertical="center" shrinkToFit="1"/>
    </xf>
    <xf numFmtId="177" fontId="14" fillId="0" borderId="6" xfId="1" applyNumberFormat="1" applyFont="1" applyBorder="1" applyAlignment="1">
      <alignment vertical="center" wrapText="1"/>
    </xf>
    <xf numFmtId="176" fontId="14" fillId="0" borderId="9" xfId="1" applyNumberFormat="1" applyFont="1" applyBorder="1" applyAlignment="1">
      <alignment vertical="center"/>
    </xf>
    <xf numFmtId="176" fontId="18" fillId="3" borderId="9" xfId="1" applyNumberFormat="1" applyFont="1" applyFill="1" applyBorder="1" applyAlignment="1">
      <alignment vertical="center"/>
    </xf>
    <xf numFmtId="177" fontId="18" fillId="0" borderId="12" xfId="1" applyNumberFormat="1" applyFont="1" applyBorder="1" applyAlignment="1">
      <alignment horizontal="center" vertical="center" wrapText="1"/>
    </xf>
    <xf numFmtId="177" fontId="18" fillId="0" borderId="12" xfId="1" applyNumberFormat="1" applyFont="1" applyBorder="1" applyAlignment="1">
      <alignment vertical="center" shrinkToFit="1"/>
    </xf>
    <xf numFmtId="177" fontId="14" fillId="0" borderId="7" xfId="1" applyNumberFormat="1" applyFont="1" applyBorder="1" applyAlignment="1">
      <alignment vertical="center" shrinkToFit="1"/>
    </xf>
    <xf numFmtId="0" fontId="14" fillId="0" borderId="7" xfId="4" applyFont="1" applyBorder="1">
      <alignment vertical="center"/>
    </xf>
    <xf numFmtId="176" fontId="14" fillId="0" borderId="14" xfId="11" applyNumberFormat="1" applyFont="1" applyBorder="1" applyAlignment="1">
      <alignment vertical="center"/>
    </xf>
    <xf numFmtId="177" fontId="18" fillId="5" borderId="12" xfId="1" applyNumberFormat="1" applyFont="1" applyFill="1" applyBorder="1" applyAlignment="1">
      <alignment vertical="center" wrapText="1"/>
    </xf>
    <xf numFmtId="176" fontId="18" fillId="5" borderId="13" xfId="1" applyNumberFormat="1" applyFont="1" applyFill="1" applyBorder="1" applyAlignment="1">
      <alignment vertical="center"/>
    </xf>
    <xf numFmtId="177" fontId="18" fillId="0" borderId="15" xfId="1" applyNumberFormat="1" applyFont="1" applyBorder="1" applyAlignment="1">
      <alignment vertical="center" wrapText="1"/>
    </xf>
    <xf numFmtId="176" fontId="14" fillId="0" borderId="16" xfId="1" applyNumberFormat="1" applyFont="1" applyBorder="1" applyAlignment="1">
      <alignment vertical="center"/>
    </xf>
    <xf numFmtId="177" fontId="18" fillId="5" borderId="19" xfId="1" applyNumberFormat="1" applyFont="1" applyFill="1" applyBorder="1" applyAlignment="1">
      <alignment vertical="center" wrapText="1"/>
    </xf>
    <xf numFmtId="176" fontId="18" fillId="5" borderId="20" xfId="1" applyNumberFormat="1" applyFont="1" applyFill="1" applyBorder="1" applyAlignment="1">
      <alignment vertical="center"/>
    </xf>
    <xf numFmtId="177" fontId="18" fillId="3" borderId="7" xfId="1" applyNumberFormat="1" applyFont="1" applyFill="1" applyBorder="1" applyAlignment="1">
      <alignment vertical="center" wrapText="1"/>
    </xf>
    <xf numFmtId="176" fontId="18" fillId="3" borderId="8" xfId="1" applyNumberFormat="1" applyFont="1" applyFill="1" applyBorder="1" applyAlignment="1">
      <alignment vertical="center"/>
    </xf>
    <xf numFmtId="0" fontId="19" fillId="0" borderId="0" xfId="0" applyFont="1">
      <alignment vertical="center"/>
    </xf>
    <xf numFmtId="177" fontId="18" fillId="6" borderId="19" xfId="0" applyNumberFormat="1" applyFont="1" applyFill="1" applyBorder="1" applyAlignment="1">
      <alignment vertical="center" wrapText="1"/>
    </xf>
    <xf numFmtId="176" fontId="18" fillId="6" borderId="20" xfId="0" applyNumberFormat="1" applyFont="1" applyFill="1" applyBorder="1" applyAlignment="1">
      <alignment vertical="center"/>
    </xf>
    <xf numFmtId="176" fontId="20" fillId="3" borderId="6" xfId="1" applyNumberFormat="1" applyFont="1" applyFill="1" applyBorder="1" applyAlignment="1">
      <alignment vertical="center" shrinkToFit="1"/>
    </xf>
    <xf numFmtId="177" fontId="14" fillId="0" borderId="7" xfId="1" applyNumberFormat="1" applyFont="1" applyFill="1" applyBorder="1" applyAlignment="1">
      <alignment vertical="center" wrapText="1"/>
    </xf>
    <xf numFmtId="176" fontId="14" fillId="0" borderId="8" xfId="1" applyNumberFormat="1" applyFont="1" applyFill="1" applyBorder="1" applyAlignment="1">
      <alignment vertical="center"/>
    </xf>
    <xf numFmtId="177" fontId="18" fillId="0" borderId="11" xfId="1" applyNumberFormat="1" applyFont="1" applyFill="1" applyBorder="1" applyAlignment="1">
      <alignment vertical="center" wrapText="1"/>
    </xf>
    <xf numFmtId="0" fontId="19" fillId="0" borderId="26" xfId="0" applyFont="1" applyBorder="1">
      <alignment vertical="center"/>
    </xf>
    <xf numFmtId="176" fontId="14" fillId="0" borderId="23" xfId="1" applyNumberFormat="1" applyFont="1" applyBorder="1" applyAlignment="1">
      <alignment vertical="center" wrapText="1"/>
    </xf>
    <xf numFmtId="178" fontId="0" fillId="0" borderId="0" xfId="12" applyNumberFormat="1" applyFont="1">
      <alignment vertical="center"/>
    </xf>
    <xf numFmtId="177" fontId="12" fillId="0" borderId="11" xfId="1" applyNumberFormat="1" applyFont="1" applyFill="1" applyBorder="1" applyAlignment="1">
      <alignment vertical="center" wrapText="1"/>
    </xf>
    <xf numFmtId="177" fontId="11" fillId="0" borderId="11" xfId="1" applyNumberFormat="1" applyFont="1" applyBorder="1" applyAlignment="1">
      <alignment vertical="center" wrapText="1"/>
    </xf>
    <xf numFmtId="177" fontId="12" fillId="0" borderId="0" xfId="1" applyNumberFormat="1" applyFont="1" applyFill="1" applyBorder="1" applyAlignment="1">
      <alignment vertical="center" wrapText="1"/>
    </xf>
    <xf numFmtId="176" fontId="12" fillId="0" borderId="0" xfId="1" applyNumberFormat="1" applyFont="1" applyFill="1" applyBorder="1" applyAlignment="1">
      <alignment vertical="center" wrapText="1"/>
    </xf>
    <xf numFmtId="177" fontId="18" fillId="7" borderId="11" xfId="1" applyNumberFormat="1" applyFont="1" applyFill="1" applyBorder="1" applyAlignment="1">
      <alignment vertical="center" wrapText="1"/>
    </xf>
    <xf numFmtId="176" fontId="18" fillId="7" borderId="14" xfId="1" applyNumberFormat="1" applyFont="1" applyFill="1" applyBorder="1" applyAlignment="1">
      <alignment vertical="center"/>
    </xf>
    <xf numFmtId="0" fontId="18" fillId="7" borderId="11" xfId="4" applyFont="1" applyFill="1" applyBorder="1" applyAlignment="1">
      <alignment vertical="center" wrapText="1"/>
    </xf>
    <xf numFmtId="177" fontId="18" fillId="7" borderId="6" xfId="1" applyNumberFormat="1" applyFont="1" applyFill="1" applyBorder="1" applyAlignment="1">
      <alignment vertical="center" wrapText="1"/>
    </xf>
    <xf numFmtId="176" fontId="18" fillId="7" borderId="9" xfId="1" applyNumberFormat="1" applyFont="1" applyFill="1" applyBorder="1" applyAlignment="1">
      <alignment vertical="center"/>
    </xf>
    <xf numFmtId="177" fontId="14" fillId="0" borderId="6" xfId="1" applyNumberFormat="1" applyFont="1" applyFill="1" applyBorder="1" applyAlignment="1">
      <alignment vertical="center" wrapText="1"/>
    </xf>
    <xf numFmtId="176" fontId="14" fillId="0" borderId="9" xfId="1" applyNumberFormat="1" applyFont="1" applyFill="1" applyBorder="1" applyAlignment="1">
      <alignment vertical="center"/>
    </xf>
    <xf numFmtId="177" fontId="21" fillId="7" borderId="6" xfId="11" applyFont="1" applyFill="1" applyBorder="1" applyAlignment="1">
      <alignment vertical="center" wrapText="1"/>
    </xf>
    <xf numFmtId="176" fontId="11" fillId="7" borderId="9" xfId="11" applyNumberFormat="1" applyFont="1" applyFill="1" applyBorder="1" applyAlignment="1">
      <alignment vertical="center"/>
    </xf>
    <xf numFmtId="0" fontId="6" fillId="0" borderId="0" xfId="10" applyFont="1" applyAlignment="1">
      <alignment horizontal="center" vertical="center"/>
    </xf>
    <xf numFmtId="0" fontId="8" fillId="0" borderId="0" xfId="10" applyFont="1" applyAlignment="1">
      <alignment horizontal="center" vertical="center"/>
    </xf>
    <xf numFmtId="0" fontId="11" fillId="2" borderId="3" xfId="10" applyFont="1" applyFill="1" applyBorder="1" applyAlignment="1">
      <alignment horizontal="center" vertical="center" wrapText="1"/>
    </xf>
    <xf numFmtId="0" fontId="11" fillId="2" borderId="7" xfId="10" applyFont="1" applyFill="1" applyBorder="1" applyAlignment="1">
      <alignment horizontal="center" vertical="center" wrapText="1"/>
    </xf>
    <xf numFmtId="0" fontId="11" fillId="2" borderId="4" xfId="10" applyFont="1" applyFill="1" applyBorder="1" applyAlignment="1">
      <alignment horizontal="center" vertical="center" wrapText="1"/>
    </xf>
    <xf numFmtId="0" fontId="11" fillId="2" borderId="8" xfId="1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</cellXfs>
  <cellStyles count="15">
    <cellStyle name="Comma [0]" xfId="1" builtinId="6"/>
    <cellStyle name="Normal" xfId="0" builtinId="0"/>
    <cellStyle name="Percent" xfId="12" builtinId="5"/>
    <cellStyle name="쉼표 [0] 2" xfId="5"/>
    <cellStyle name="쉼표 [0] 2 2" xfId="6"/>
    <cellStyle name="쉼표 [0] 3" xfId="7"/>
    <cellStyle name="쉼표 [0] 4" xfId="11"/>
    <cellStyle name="표준 2" xfId="3"/>
    <cellStyle name="표준 2 2" xfId="8"/>
    <cellStyle name="표준 3" xfId="2"/>
    <cellStyle name="표준 3 2" xfId="10"/>
    <cellStyle name="표준 4" xfId="4"/>
    <cellStyle name="표준 4 2" xfId="14"/>
    <cellStyle name="표준 5" xfId="9"/>
    <cellStyle name="표준 6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view="pageBreakPreview" topLeftCell="A76" zoomScale="118" zoomScaleNormal="115" zoomScaleSheetLayoutView="118" workbookViewId="0">
      <selection activeCell="G94" sqref="G94"/>
    </sheetView>
  </sheetViews>
  <sheetFormatPr defaultRowHeight="16.5" x14ac:dyDescent="0.3"/>
  <cols>
    <col min="1" max="2" width="2.625" style="53" customWidth="1"/>
    <col min="3" max="3" width="20.625" style="82" customWidth="1"/>
    <col min="4" max="5" width="17.875" style="83" bestFit="1" customWidth="1"/>
    <col min="6" max="6" width="15.75" style="83" bestFit="1" customWidth="1"/>
    <col min="7" max="7" width="47" style="112" customWidth="1"/>
    <col min="8" max="8" width="17.875" style="112" bestFit="1" customWidth="1"/>
    <col min="9" max="16384" width="9" style="53"/>
  </cols>
  <sheetData>
    <row r="1" spans="1:8" ht="33.75" x14ac:dyDescent="0.3">
      <c r="A1" s="183" t="s">
        <v>451</v>
      </c>
      <c r="B1" s="184"/>
      <c r="C1" s="184"/>
      <c r="D1" s="184"/>
      <c r="E1" s="184"/>
      <c r="F1" s="184"/>
      <c r="G1" s="184"/>
      <c r="H1" s="184"/>
    </row>
    <row r="2" spans="1:8" ht="17.25" thickBot="1" x14ac:dyDescent="0.35">
      <c r="A2" s="54"/>
      <c r="B2" s="55"/>
      <c r="C2" s="54"/>
      <c r="D2" s="53"/>
      <c r="E2" s="53"/>
      <c r="F2" s="53"/>
    </row>
    <row r="3" spans="1:8" x14ac:dyDescent="0.3">
      <c r="A3" s="56" t="s">
        <v>69</v>
      </c>
      <c r="B3" s="57"/>
      <c r="C3" s="57"/>
      <c r="D3" s="185" t="s">
        <v>466</v>
      </c>
      <c r="E3" s="185" t="s">
        <v>465</v>
      </c>
      <c r="F3" s="185" t="s">
        <v>1</v>
      </c>
      <c r="G3" s="185" t="s">
        <v>70</v>
      </c>
      <c r="H3" s="187"/>
    </row>
    <row r="4" spans="1:8" x14ac:dyDescent="0.3">
      <c r="A4" s="58" t="s">
        <v>2</v>
      </c>
      <c r="B4" s="59" t="s">
        <v>3</v>
      </c>
      <c r="C4" s="59" t="s">
        <v>4</v>
      </c>
      <c r="D4" s="186"/>
      <c r="E4" s="186"/>
      <c r="F4" s="186"/>
      <c r="G4" s="186"/>
      <c r="H4" s="188"/>
    </row>
    <row r="5" spans="1:8" x14ac:dyDescent="0.3">
      <c r="A5" s="60" t="s">
        <v>71</v>
      </c>
      <c r="B5" s="61"/>
      <c r="C5" s="61"/>
      <c r="D5" s="62">
        <f>SUM(D6,D17,D19)</f>
        <v>8316238</v>
      </c>
      <c r="E5" s="62">
        <f>SUM(E6,E17,E19)</f>
        <v>8316238</v>
      </c>
      <c r="F5" s="63">
        <f>D5-E5</f>
        <v>0</v>
      </c>
      <c r="G5" s="102"/>
      <c r="H5" s="113"/>
    </row>
    <row r="6" spans="1:8" x14ac:dyDescent="0.3">
      <c r="A6" s="64"/>
      <c r="B6" s="65" t="s">
        <v>72</v>
      </c>
      <c r="C6" s="65"/>
      <c r="D6" s="66">
        <f>SUM(D7:D12)</f>
        <v>7348051</v>
      </c>
      <c r="E6" s="66">
        <f>SUM(E7:E12)</f>
        <v>7348051</v>
      </c>
      <c r="F6" s="66">
        <f t="shared" ref="F6:F72" si="0">D6-E6</f>
        <v>0</v>
      </c>
      <c r="G6" s="104"/>
      <c r="H6" s="114"/>
    </row>
    <row r="7" spans="1:8" x14ac:dyDescent="0.3">
      <c r="A7" s="64"/>
      <c r="B7" s="67"/>
      <c r="C7" s="68" t="s">
        <v>73</v>
      </c>
      <c r="D7" s="69">
        <f>H11</f>
        <v>462240</v>
      </c>
      <c r="E7" s="69">
        <v>462240</v>
      </c>
      <c r="F7" s="69">
        <f t="shared" si="0"/>
        <v>0</v>
      </c>
      <c r="G7" s="92" t="s">
        <v>127</v>
      </c>
      <c r="H7" s="93">
        <f>3210*20</f>
        <v>64200</v>
      </c>
    </row>
    <row r="8" spans="1:8" x14ac:dyDescent="0.3">
      <c r="A8" s="64"/>
      <c r="B8" s="67"/>
      <c r="C8" s="67"/>
      <c r="D8" s="70"/>
      <c r="E8" s="70"/>
      <c r="F8" s="70"/>
      <c r="G8" s="85" t="s">
        <v>74</v>
      </c>
      <c r="H8" s="94">
        <f>3210*82</f>
        <v>263220</v>
      </c>
    </row>
    <row r="9" spans="1:8" x14ac:dyDescent="0.3">
      <c r="A9" s="64"/>
      <c r="B9" s="67"/>
      <c r="C9" s="67"/>
      <c r="D9" s="70"/>
      <c r="E9" s="70"/>
      <c r="F9" s="70"/>
      <c r="G9" s="85" t="s">
        <v>75</v>
      </c>
      <c r="H9" s="94">
        <f>3210*22</f>
        <v>70620</v>
      </c>
    </row>
    <row r="10" spans="1:8" x14ac:dyDescent="0.3">
      <c r="A10" s="64"/>
      <c r="B10" s="67"/>
      <c r="C10" s="67"/>
      <c r="D10" s="70"/>
      <c r="E10" s="70"/>
      <c r="F10" s="70"/>
      <c r="G10" s="87" t="s">
        <v>76</v>
      </c>
      <c r="H10" s="95">
        <f>3210*20</f>
        <v>64200</v>
      </c>
    </row>
    <row r="11" spans="1:8" x14ac:dyDescent="0.3">
      <c r="A11" s="64"/>
      <c r="B11" s="67"/>
      <c r="C11" s="67"/>
      <c r="D11" s="70"/>
      <c r="E11" s="70"/>
      <c r="F11" s="70"/>
      <c r="G11" s="96" t="s">
        <v>7</v>
      </c>
      <c r="H11" s="97">
        <f>SUM(H7:H10)</f>
        <v>462240</v>
      </c>
    </row>
    <row r="12" spans="1:8" x14ac:dyDescent="0.3">
      <c r="A12" s="64"/>
      <c r="B12" s="67"/>
      <c r="C12" s="67" t="s">
        <v>77</v>
      </c>
      <c r="D12" s="70">
        <f>H16</f>
        <v>6885811</v>
      </c>
      <c r="E12" s="70">
        <v>6885811</v>
      </c>
      <c r="F12" s="70">
        <f t="shared" si="0"/>
        <v>0</v>
      </c>
      <c r="G12" s="92" t="s">
        <v>431</v>
      </c>
      <c r="H12" s="93">
        <f>ROUNDDOWN(5729.85*67*2,0)</f>
        <v>767799</v>
      </c>
    </row>
    <row r="13" spans="1:8" x14ac:dyDescent="0.3">
      <c r="A13" s="64"/>
      <c r="B13" s="67"/>
      <c r="C13" s="67"/>
      <c r="D13" s="70"/>
      <c r="E13" s="70"/>
      <c r="F13" s="70"/>
      <c r="G13" s="85" t="s">
        <v>432</v>
      </c>
      <c r="H13" s="94">
        <f>ROUNDDOWN(6011.26*248*2,0)</f>
        <v>2981584</v>
      </c>
    </row>
    <row r="14" spans="1:8" x14ac:dyDescent="0.3">
      <c r="A14" s="64"/>
      <c r="B14" s="67"/>
      <c r="C14" s="67"/>
      <c r="D14" s="70"/>
      <c r="E14" s="70"/>
      <c r="F14" s="70"/>
      <c r="G14" s="85" t="s">
        <v>128</v>
      </c>
      <c r="H14" s="94">
        <f>ROUNDDOWN(8595.31*62*2,0)</f>
        <v>1065818</v>
      </c>
    </row>
    <row r="15" spans="1:8" x14ac:dyDescent="0.3">
      <c r="A15" s="64"/>
      <c r="B15" s="67"/>
      <c r="C15" s="67"/>
      <c r="D15" s="70"/>
      <c r="E15" s="70"/>
      <c r="F15" s="70"/>
      <c r="G15" s="87" t="s">
        <v>433</v>
      </c>
      <c r="H15" s="95">
        <f>ROUNDDOWN(10673.25*97*2,0)</f>
        <v>2070610</v>
      </c>
    </row>
    <row r="16" spans="1:8" x14ac:dyDescent="0.3">
      <c r="A16" s="64"/>
      <c r="B16" s="67"/>
      <c r="C16" s="71"/>
      <c r="D16" s="72"/>
      <c r="E16" s="72"/>
      <c r="F16" s="72"/>
      <c r="G16" s="96" t="s">
        <v>7</v>
      </c>
      <c r="H16" s="97">
        <f>SUM(H12:H15)</f>
        <v>6885811</v>
      </c>
    </row>
    <row r="17" spans="1:8" x14ac:dyDescent="0.3">
      <c r="A17" s="64"/>
      <c r="B17" s="73" t="s">
        <v>78</v>
      </c>
      <c r="C17" s="73"/>
      <c r="D17" s="66">
        <f>SUM(D18)</f>
        <v>0</v>
      </c>
      <c r="E17" s="66">
        <f>SUM(E18)</f>
        <v>0</v>
      </c>
      <c r="F17" s="66">
        <f t="shared" si="0"/>
        <v>0</v>
      </c>
      <c r="G17" s="104"/>
      <c r="H17" s="105"/>
    </row>
    <row r="18" spans="1:8" x14ac:dyDescent="0.3">
      <c r="A18" s="64"/>
      <c r="B18" s="67"/>
      <c r="C18" s="74" t="s">
        <v>78</v>
      </c>
      <c r="D18" s="75">
        <v>0</v>
      </c>
      <c r="E18" s="75">
        <v>0</v>
      </c>
      <c r="F18" s="75">
        <f t="shared" si="0"/>
        <v>0</v>
      </c>
      <c r="G18" s="100"/>
      <c r="H18" s="101"/>
    </row>
    <row r="19" spans="1:8" x14ac:dyDescent="0.3">
      <c r="A19" s="64"/>
      <c r="B19" s="73" t="s">
        <v>48</v>
      </c>
      <c r="C19" s="73"/>
      <c r="D19" s="66">
        <f>SUM(D20:D40)</f>
        <v>968187</v>
      </c>
      <c r="E19" s="66">
        <f>SUM(E20:E40)</f>
        <v>968187</v>
      </c>
      <c r="F19" s="66">
        <f t="shared" si="0"/>
        <v>0</v>
      </c>
      <c r="G19" s="115"/>
      <c r="H19" s="116"/>
    </row>
    <row r="20" spans="1:8" x14ac:dyDescent="0.3">
      <c r="A20" s="64"/>
      <c r="B20" s="67"/>
      <c r="C20" s="68" t="s">
        <v>49</v>
      </c>
      <c r="D20" s="69">
        <f>H29</f>
        <v>687160</v>
      </c>
      <c r="E20" s="69">
        <v>687160</v>
      </c>
      <c r="F20" s="69">
        <f t="shared" si="0"/>
        <v>0</v>
      </c>
      <c r="G20" s="117" t="s">
        <v>118</v>
      </c>
      <c r="H20" s="93">
        <f>5*65*185</f>
        <v>60125</v>
      </c>
    </row>
    <row r="21" spans="1:8" x14ac:dyDescent="0.3">
      <c r="A21" s="64"/>
      <c r="B21" s="67"/>
      <c r="C21" s="67"/>
      <c r="D21" s="70"/>
      <c r="E21" s="70"/>
      <c r="F21" s="70"/>
      <c r="G21" s="90" t="s">
        <v>119</v>
      </c>
      <c r="H21" s="94">
        <f>6*240*185</f>
        <v>266400</v>
      </c>
    </row>
    <row r="22" spans="1:8" x14ac:dyDescent="0.3">
      <c r="A22" s="64"/>
      <c r="B22" s="67"/>
      <c r="C22" s="67"/>
      <c r="D22" s="70"/>
      <c r="E22" s="70"/>
      <c r="F22" s="70"/>
      <c r="G22" s="90" t="s">
        <v>120</v>
      </c>
      <c r="H22" s="94">
        <f>7*150*185</f>
        <v>194250</v>
      </c>
    </row>
    <row r="23" spans="1:8" x14ac:dyDescent="0.3">
      <c r="A23" s="64"/>
      <c r="B23" s="67"/>
      <c r="C23" s="67"/>
      <c r="D23" s="70"/>
      <c r="E23" s="70"/>
      <c r="F23" s="70"/>
      <c r="G23" s="90" t="s">
        <v>79</v>
      </c>
      <c r="H23" s="94">
        <f>5*40*185</f>
        <v>37000</v>
      </c>
    </row>
    <row r="24" spans="1:8" x14ac:dyDescent="0.3">
      <c r="A24" s="64"/>
      <c r="B24" s="67"/>
      <c r="C24" s="67"/>
      <c r="D24" s="70"/>
      <c r="E24" s="70"/>
      <c r="F24" s="70"/>
      <c r="G24" s="90" t="s">
        <v>121</v>
      </c>
      <c r="H24" s="94">
        <f>6*120*40</f>
        <v>28800</v>
      </c>
    </row>
    <row r="25" spans="1:8" x14ac:dyDescent="0.3">
      <c r="A25" s="64"/>
      <c r="B25" s="67"/>
      <c r="C25" s="67"/>
      <c r="D25" s="70"/>
      <c r="E25" s="70"/>
      <c r="F25" s="70"/>
      <c r="G25" s="90" t="s">
        <v>122</v>
      </c>
      <c r="H25" s="94">
        <f>285*185</f>
        <v>52725</v>
      </c>
    </row>
    <row r="26" spans="1:8" x14ac:dyDescent="0.3">
      <c r="A26" s="64"/>
      <c r="B26" s="67"/>
      <c r="C26" s="67"/>
      <c r="D26" s="70"/>
      <c r="E26" s="70"/>
      <c r="F26" s="70"/>
      <c r="G26" s="90" t="s">
        <v>123</v>
      </c>
      <c r="H26" s="94">
        <f>7*110*38</f>
        <v>29260</v>
      </c>
    </row>
    <row r="27" spans="1:8" x14ac:dyDescent="0.3">
      <c r="A27" s="64"/>
      <c r="B27" s="67"/>
      <c r="C27" s="67"/>
      <c r="D27" s="70"/>
      <c r="E27" s="70"/>
      <c r="F27" s="70"/>
      <c r="G27" s="90" t="s">
        <v>124</v>
      </c>
      <c r="H27" s="94">
        <f>80*185</f>
        <v>14800</v>
      </c>
    </row>
    <row r="28" spans="1:8" x14ac:dyDescent="0.3">
      <c r="A28" s="64"/>
      <c r="B28" s="67"/>
      <c r="C28" s="67"/>
      <c r="D28" s="70"/>
      <c r="E28" s="70"/>
      <c r="F28" s="70"/>
      <c r="G28" s="91" t="s">
        <v>125</v>
      </c>
      <c r="H28" s="95">
        <f>100*38</f>
        <v>3800</v>
      </c>
    </row>
    <row r="29" spans="1:8" x14ac:dyDescent="0.3">
      <c r="A29" s="64"/>
      <c r="B29" s="67"/>
      <c r="C29" s="67"/>
      <c r="D29" s="70"/>
      <c r="E29" s="70"/>
      <c r="F29" s="70"/>
      <c r="G29" s="96" t="s">
        <v>7</v>
      </c>
      <c r="H29" s="97">
        <f>SUM(H20:H28)</f>
        <v>687160</v>
      </c>
    </row>
    <row r="30" spans="1:8" x14ac:dyDescent="0.3">
      <c r="A30" s="64"/>
      <c r="B30" s="67"/>
      <c r="C30" s="67" t="s">
        <v>51</v>
      </c>
      <c r="D30" s="70">
        <f>H35</f>
        <v>182787</v>
      </c>
      <c r="E30" s="70">
        <v>182787</v>
      </c>
      <c r="F30" s="70">
        <f t="shared" si="0"/>
        <v>0</v>
      </c>
      <c r="G30" s="92" t="s">
        <v>129</v>
      </c>
      <c r="H30" s="93">
        <f>50*45*3*5</f>
        <v>33750</v>
      </c>
    </row>
    <row r="31" spans="1:8" x14ac:dyDescent="0.3">
      <c r="A31" s="64"/>
      <c r="B31" s="67"/>
      <c r="C31" s="67"/>
      <c r="D31" s="70"/>
      <c r="E31" s="70"/>
      <c r="F31" s="70"/>
      <c r="G31" s="85" t="s">
        <v>440</v>
      </c>
      <c r="H31" s="94">
        <v>75037</v>
      </c>
    </row>
    <row r="32" spans="1:8" x14ac:dyDescent="0.3">
      <c r="A32" s="64"/>
      <c r="B32" s="67"/>
      <c r="C32" s="67"/>
      <c r="D32" s="70"/>
      <c r="E32" s="70"/>
      <c r="F32" s="70"/>
      <c r="G32" s="85" t="s">
        <v>139</v>
      </c>
      <c r="H32" s="94">
        <f>1000*15*2</f>
        <v>30000</v>
      </c>
    </row>
    <row r="33" spans="1:9" x14ac:dyDescent="0.3">
      <c r="A33" s="64"/>
      <c r="B33" s="67"/>
      <c r="C33" s="67"/>
      <c r="D33" s="70"/>
      <c r="E33" s="70"/>
      <c r="F33" s="70"/>
      <c r="G33" s="85" t="s">
        <v>80</v>
      </c>
      <c r="H33" s="94">
        <f>200*50*2</f>
        <v>20000</v>
      </c>
    </row>
    <row r="34" spans="1:9" x14ac:dyDescent="0.3">
      <c r="A34" s="64"/>
      <c r="B34" s="67"/>
      <c r="C34" s="67"/>
      <c r="D34" s="70"/>
      <c r="E34" s="70"/>
      <c r="F34" s="70"/>
      <c r="G34" s="87" t="s">
        <v>81</v>
      </c>
      <c r="H34" s="95">
        <f>200*60*2</f>
        <v>24000</v>
      </c>
    </row>
    <row r="35" spans="1:9" x14ac:dyDescent="0.3">
      <c r="A35" s="64"/>
      <c r="B35" s="67"/>
      <c r="C35" s="67"/>
      <c r="D35" s="70"/>
      <c r="E35" s="70"/>
      <c r="F35" s="70"/>
      <c r="G35" s="96" t="s">
        <v>7</v>
      </c>
      <c r="H35" s="97">
        <f>SUM(H30:H34)</f>
        <v>182787</v>
      </c>
    </row>
    <row r="36" spans="1:9" x14ac:dyDescent="0.3">
      <c r="A36" s="64"/>
      <c r="B36" s="67"/>
      <c r="C36" s="67" t="s">
        <v>52</v>
      </c>
      <c r="D36" s="70">
        <f>H39</f>
        <v>58240</v>
      </c>
      <c r="E36" s="70">
        <v>58240</v>
      </c>
      <c r="F36" s="70">
        <f t="shared" si="0"/>
        <v>0</v>
      </c>
      <c r="G36" s="92" t="s">
        <v>130</v>
      </c>
      <c r="H36" s="93">
        <f>20*59*4</f>
        <v>4720</v>
      </c>
    </row>
    <row r="37" spans="1:9" x14ac:dyDescent="0.3">
      <c r="A37" s="64"/>
      <c r="B37" s="67"/>
      <c r="C37" s="67"/>
      <c r="D37" s="70"/>
      <c r="E37" s="70"/>
      <c r="F37" s="70"/>
      <c r="G37" s="85" t="s">
        <v>131</v>
      </c>
      <c r="H37" s="94">
        <f>40*247*4</f>
        <v>39520</v>
      </c>
    </row>
    <row r="38" spans="1:9" x14ac:dyDescent="0.3">
      <c r="A38" s="64"/>
      <c r="B38" s="67"/>
      <c r="C38" s="67"/>
      <c r="D38" s="70"/>
      <c r="E38" s="70"/>
      <c r="F38" s="70"/>
      <c r="G38" s="85" t="s">
        <v>132</v>
      </c>
      <c r="H38" s="94">
        <f>50*70*4</f>
        <v>14000</v>
      </c>
    </row>
    <row r="39" spans="1:9" x14ac:dyDescent="0.3">
      <c r="A39" s="64"/>
      <c r="B39" s="67"/>
      <c r="C39" s="67"/>
      <c r="D39" s="70"/>
      <c r="E39" s="70"/>
      <c r="F39" s="70"/>
      <c r="G39" s="96" t="s">
        <v>7</v>
      </c>
      <c r="H39" s="97">
        <f>SUM(H36:H38)</f>
        <v>58240</v>
      </c>
    </row>
    <row r="40" spans="1:9" x14ac:dyDescent="0.3">
      <c r="A40" s="64"/>
      <c r="B40" s="67"/>
      <c r="C40" s="67" t="s">
        <v>53</v>
      </c>
      <c r="D40" s="70">
        <f>H42</f>
        <v>40000</v>
      </c>
      <c r="E40" s="70">
        <v>40000</v>
      </c>
      <c r="F40" s="70">
        <f t="shared" si="0"/>
        <v>0</v>
      </c>
      <c r="G40" s="98" t="s">
        <v>82</v>
      </c>
      <c r="H40" s="99">
        <f>300*45*2</f>
        <v>27000</v>
      </c>
    </row>
    <row r="41" spans="1:9" customFormat="1" x14ac:dyDescent="0.3">
      <c r="A41" s="14"/>
      <c r="B41" s="18"/>
      <c r="C41" s="22"/>
      <c r="D41" s="23"/>
      <c r="E41" s="23"/>
      <c r="F41" s="23"/>
      <c r="G41" s="88" t="s">
        <v>140</v>
      </c>
      <c r="H41" s="24">
        <f>260*50</f>
        <v>13000</v>
      </c>
      <c r="I41" s="21"/>
    </row>
    <row r="42" spans="1:9" x14ac:dyDescent="0.3">
      <c r="A42" s="64"/>
      <c r="B42" s="67"/>
      <c r="C42" s="71"/>
      <c r="D42" s="72"/>
      <c r="E42" s="72"/>
      <c r="F42" s="72"/>
      <c r="G42" s="96" t="s">
        <v>7</v>
      </c>
      <c r="H42" s="97">
        <f>SUM(H40:H41)</f>
        <v>40000</v>
      </c>
    </row>
    <row r="43" spans="1:9" x14ac:dyDescent="0.3">
      <c r="A43" s="60" t="s">
        <v>83</v>
      </c>
      <c r="B43" s="61"/>
      <c r="C43" s="61"/>
      <c r="D43" s="62">
        <f>SUM(D44,D56,D58)</f>
        <v>2330179</v>
      </c>
      <c r="E43" s="62">
        <f>SUM(E44,E56,E58)</f>
        <v>2330179</v>
      </c>
      <c r="F43" s="62">
        <f t="shared" si="0"/>
        <v>0</v>
      </c>
      <c r="G43" s="118"/>
      <c r="H43" s="119"/>
    </row>
    <row r="44" spans="1:9" x14ac:dyDescent="0.3">
      <c r="A44" s="64"/>
      <c r="B44" s="65" t="s">
        <v>84</v>
      </c>
      <c r="C44" s="65"/>
      <c r="D44" s="66">
        <f>H55</f>
        <v>2293179</v>
      </c>
      <c r="E44" s="66">
        <f>SUM(E45:E51)</f>
        <v>2293179</v>
      </c>
      <c r="F44" s="66">
        <f t="shared" si="0"/>
        <v>0</v>
      </c>
      <c r="G44" s="104"/>
      <c r="H44" s="105"/>
    </row>
    <row r="45" spans="1:9" x14ac:dyDescent="0.3">
      <c r="A45" s="64"/>
      <c r="B45" s="67"/>
      <c r="C45" s="68" t="s">
        <v>85</v>
      </c>
      <c r="D45" s="69">
        <f t="shared" ref="D45:D50" si="1">H45</f>
        <v>1248000</v>
      </c>
      <c r="E45" s="69">
        <v>1248000</v>
      </c>
      <c r="F45" s="69">
        <f t="shared" si="0"/>
        <v>0</v>
      </c>
      <c r="G45" s="92" t="s">
        <v>429</v>
      </c>
      <c r="H45" s="93">
        <f>312000*4</f>
        <v>1248000</v>
      </c>
    </row>
    <row r="46" spans="1:9" x14ac:dyDescent="0.3">
      <c r="A46" s="64"/>
      <c r="B46" s="67"/>
      <c r="C46" s="67" t="s">
        <v>86</v>
      </c>
      <c r="D46" s="70">
        <f t="shared" si="1"/>
        <v>600000</v>
      </c>
      <c r="E46" s="70">
        <v>600000</v>
      </c>
      <c r="F46" s="70">
        <f t="shared" si="0"/>
        <v>0</v>
      </c>
      <c r="G46" s="85" t="s">
        <v>138</v>
      </c>
      <c r="H46" s="94">
        <f>150000*4</f>
        <v>600000</v>
      </c>
    </row>
    <row r="47" spans="1:9" x14ac:dyDescent="0.3">
      <c r="A47" s="64"/>
      <c r="B47" s="67"/>
      <c r="C47" s="67" t="s">
        <v>87</v>
      </c>
      <c r="D47" s="76" t="str">
        <f t="shared" si="1"/>
        <v>-</v>
      </c>
      <c r="E47" s="76" t="s">
        <v>460</v>
      </c>
      <c r="F47" s="76">
        <v>0</v>
      </c>
      <c r="G47" s="120" t="s">
        <v>37</v>
      </c>
      <c r="H47" s="121" t="s">
        <v>37</v>
      </c>
    </row>
    <row r="48" spans="1:9" x14ac:dyDescent="0.3">
      <c r="A48" s="64"/>
      <c r="B48" s="67"/>
      <c r="C48" s="67" t="s">
        <v>88</v>
      </c>
      <c r="D48" s="70">
        <f t="shared" si="1"/>
        <v>170000</v>
      </c>
      <c r="E48" s="70">
        <v>170000</v>
      </c>
      <c r="F48" s="70">
        <f t="shared" si="0"/>
        <v>0</v>
      </c>
      <c r="G48" s="85" t="s">
        <v>133</v>
      </c>
      <c r="H48" s="94">
        <v>170000</v>
      </c>
    </row>
    <row r="49" spans="1:8" x14ac:dyDescent="0.3">
      <c r="A49" s="64"/>
      <c r="B49" s="67"/>
      <c r="C49" s="67" t="s">
        <v>89</v>
      </c>
      <c r="D49" s="70">
        <f t="shared" si="1"/>
        <v>39037</v>
      </c>
      <c r="E49" s="70">
        <v>39037</v>
      </c>
      <c r="F49" s="70">
        <f t="shared" si="0"/>
        <v>0</v>
      </c>
      <c r="G49" s="85" t="s">
        <v>90</v>
      </c>
      <c r="H49" s="94">
        <f>39037</f>
        <v>39037</v>
      </c>
    </row>
    <row r="50" spans="1:8" x14ac:dyDescent="0.3">
      <c r="A50" s="64"/>
      <c r="B50" s="67"/>
      <c r="C50" s="67" t="s">
        <v>44</v>
      </c>
      <c r="D50" s="70">
        <f t="shared" si="1"/>
        <v>0</v>
      </c>
      <c r="E50" s="70">
        <v>0</v>
      </c>
      <c r="F50" s="70">
        <f>D50-E50</f>
        <v>0</v>
      </c>
      <c r="G50" s="85"/>
      <c r="H50" s="94"/>
    </row>
    <row r="51" spans="1:8" x14ac:dyDescent="0.3">
      <c r="A51" s="64"/>
      <c r="B51" s="67"/>
      <c r="C51" s="67" t="s">
        <v>91</v>
      </c>
      <c r="D51" s="70">
        <f>SUM(H51:H54)</f>
        <v>236142</v>
      </c>
      <c r="E51" s="70">
        <v>236142</v>
      </c>
      <c r="F51" s="70">
        <f t="shared" si="0"/>
        <v>0</v>
      </c>
      <c r="G51" s="85" t="s">
        <v>92</v>
      </c>
      <c r="H51" s="94">
        <v>4824</v>
      </c>
    </row>
    <row r="52" spans="1:8" x14ac:dyDescent="0.3">
      <c r="A52" s="64"/>
      <c r="B52" s="67"/>
      <c r="C52" s="67"/>
      <c r="D52" s="70"/>
      <c r="E52" s="70"/>
      <c r="F52" s="70"/>
      <c r="G52" s="85" t="s">
        <v>134</v>
      </c>
      <c r="H52" s="94">
        <v>23362</v>
      </c>
    </row>
    <row r="53" spans="1:8" x14ac:dyDescent="0.3">
      <c r="A53" s="64"/>
      <c r="B53" s="67"/>
      <c r="C53" s="67"/>
      <c r="D53" s="70"/>
      <c r="E53" s="70"/>
      <c r="F53" s="70"/>
      <c r="G53" s="109" t="s">
        <v>93</v>
      </c>
      <c r="H53" s="110">
        <f>13*3*20*9*4</f>
        <v>28080</v>
      </c>
    </row>
    <row r="54" spans="1:8" x14ac:dyDescent="0.3">
      <c r="A54" s="64"/>
      <c r="B54" s="67"/>
      <c r="C54" s="67"/>
      <c r="D54" s="70"/>
      <c r="E54" s="70"/>
      <c r="F54" s="70"/>
      <c r="G54" s="87" t="s">
        <v>434</v>
      </c>
      <c r="H54" s="95">
        <v>179876</v>
      </c>
    </row>
    <row r="55" spans="1:8" x14ac:dyDescent="0.3">
      <c r="A55" s="64"/>
      <c r="B55" s="67"/>
      <c r="C55" s="71"/>
      <c r="D55" s="72"/>
      <c r="E55" s="72"/>
      <c r="F55" s="72"/>
      <c r="G55" s="96" t="s">
        <v>7</v>
      </c>
      <c r="H55" s="97">
        <f>SUM(H45:H54)</f>
        <v>2293179</v>
      </c>
    </row>
    <row r="56" spans="1:8" x14ac:dyDescent="0.3">
      <c r="A56" s="64"/>
      <c r="B56" s="73" t="s">
        <v>94</v>
      </c>
      <c r="C56" s="73"/>
      <c r="D56" s="66">
        <f>SUM(D57)</f>
        <v>0</v>
      </c>
      <c r="E56" s="66">
        <f>SUM(E57)</f>
        <v>0</v>
      </c>
      <c r="F56" s="66">
        <f t="shared" si="0"/>
        <v>0</v>
      </c>
      <c r="G56" s="104"/>
      <c r="H56" s="105"/>
    </row>
    <row r="57" spans="1:8" x14ac:dyDescent="0.3">
      <c r="A57" s="64"/>
      <c r="B57" s="67"/>
      <c r="C57" s="68" t="s">
        <v>94</v>
      </c>
      <c r="D57" s="77" t="s">
        <v>37</v>
      </c>
      <c r="E57" s="77" t="s">
        <v>37</v>
      </c>
      <c r="F57" s="77" t="s">
        <v>37</v>
      </c>
      <c r="G57" s="122" t="s">
        <v>37</v>
      </c>
      <c r="H57" s="123" t="s">
        <v>37</v>
      </c>
    </row>
    <row r="58" spans="1:8" x14ac:dyDescent="0.3">
      <c r="A58" s="64"/>
      <c r="B58" s="73" t="s">
        <v>95</v>
      </c>
      <c r="C58" s="73"/>
      <c r="D58" s="66">
        <f>SUM(D59)</f>
        <v>37000</v>
      </c>
      <c r="E58" s="66">
        <f>SUM(E59)</f>
        <v>37000</v>
      </c>
      <c r="F58" s="66">
        <f t="shared" si="0"/>
        <v>0</v>
      </c>
      <c r="G58" s="104"/>
      <c r="H58" s="105"/>
    </row>
    <row r="59" spans="1:8" ht="17.25" customHeight="1" x14ac:dyDescent="0.3">
      <c r="A59" s="64"/>
      <c r="B59" s="67"/>
      <c r="C59" s="68" t="s">
        <v>95</v>
      </c>
      <c r="D59" s="75">
        <f>H59</f>
        <v>37000</v>
      </c>
      <c r="E59" s="75">
        <v>37000</v>
      </c>
      <c r="F59" s="75">
        <f t="shared" si="0"/>
        <v>0</v>
      </c>
      <c r="G59" s="100" t="s">
        <v>464</v>
      </c>
      <c r="H59" s="101">
        <v>37000</v>
      </c>
    </row>
    <row r="60" spans="1:8" x14ac:dyDescent="0.3">
      <c r="A60" s="60" t="s">
        <v>96</v>
      </c>
      <c r="B60" s="61"/>
      <c r="C60" s="61"/>
      <c r="D60" s="62">
        <f>SUM(D61,D65,D67,D69)</f>
        <v>34619</v>
      </c>
      <c r="E60" s="62">
        <f>SUM(E61,E65,E67,E69)</f>
        <v>34619</v>
      </c>
      <c r="F60" s="62">
        <f t="shared" si="0"/>
        <v>0</v>
      </c>
      <c r="G60" s="102"/>
      <c r="H60" s="103"/>
    </row>
    <row r="61" spans="1:8" x14ac:dyDescent="0.3">
      <c r="A61" s="64"/>
      <c r="B61" s="73" t="s">
        <v>97</v>
      </c>
      <c r="C61" s="73"/>
      <c r="D61" s="66">
        <f>SUM(D62)</f>
        <v>14200</v>
      </c>
      <c r="E61" s="66">
        <f>SUM(E62)</f>
        <v>14200</v>
      </c>
      <c r="F61" s="66">
        <f t="shared" si="0"/>
        <v>0</v>
      </c>
      <c r="G61" s="104"/>
      <c r="H61" s="105"/>
    </row>
    <row r="62" spans="1:8" x14ac:dyDescent="0.3">
      <c r="A62" s="64"/>
      <c r="B62" s="67"/>
      <c r="C62" s="68" t="s">
        <v>98</v>
      </c>
      <c r="D62" s="69">
        <f>H65</f>
        <v>14200</v>
      </c>
      <c r="E62" s="69">
        <v>14200</v>
      </c>
      <c r="F62" s="69">
        <f t="shared" si="0"/>
        <v>0</v>
      </c>
      <c r="G62" s="106" t="s">
        <v>137</v>
      </c>
      <c r="H62" s="93">
        <f>400*3</f>
        <v>1200</v>
      </c>
    </row>
    <row r="63" spans="1:8" x14ac:dyDescent="0.3">
      <c r="A63" s="64"/>
      <c r="B63" s="67"/>
      <c r="C63" s="67"/>
      <c r="D63" s="70"/>
      <c r="E63" s="70"/>
      <c r="F63" s="70">
        <f t="shared" si="0"/>
        <v>0</v>
      </c>
      <c r="G63" s="107" t="s">
        <v>135</v>
      </c>
      <c r="H63" s="94">
        <f>350*20</f>
        <v>7000</v>
      </c>
    </row>
    <row r="64" spans="1:8" x14ac:dyDescent="0.3">
      <c r="A64" s="64"/>
      <c r="B64" s="67"/>
      <c r="C64" s="71"/>
      <c r="D64" s="72"/>
      <c r="E64" s="72"/>
      <c r="F64" s="72">
        <f t="shared" si="0"/>
        <v>0</v>
      </c>
      <c r="G64" s="108" t="s">
        <v>136</v>
      </c>
      <c r="H64" s="95">
        <f>500*12</f>
        <v>6000</v>
      </c>
    </row>
    <row r="65" spans="1:8" x14ac:dyDescent="0.3">
      <c r="A65" s="64"/>
      <c r="B65" s="73" t="s">
        <v>99</v>
      </c>
      <c r="C65" s="73"/>
      <c r="D65" s="66">
        <f>SUM(D66)</f>
        <v>0</v>
      </c>
      <c r="E65" s="66">
        <f>SUM(E66)</f>
        <v>0</v>
      </c>
      <c r="F65" s="66">
        <f t="shared" si="0"/>
        <v>0</v>
      </c>
      <c r="G65" s="104"/>
      <c r="H65" s="105">
        <f>SUM(H62:H64)</f>
        <v>14200</v>
      </c>
    </row>
    <row r="66" spans="1:8" x14ac:dyDescent="0.3">
      <c r="A66" s="64"/>
      <c r="B66" s="67"/>
      <c r="C66" s="68" t="s">
        <v>99</v>
      </c>
      <c r="D66" s="77" t="s">
        <v>37</v>
      </c>
      <c r="E66" s="77" t="s">
        <v>460</v>
      </c>
      <c r="F66" s="77" t="s">
        <v>37</v>
      </c>
      <c r="G66" s="122" t="s">
        <v>37</v>
      </c>
      <c r="H66" s="123" t="s">
        <v>37</v>
      </c>
    </row>
    <row r="67" spans="1:8" x14ac:dyDescent="0.3">
      <c r="A67" s="64"/>
      <c r="B67" s="73" t="s">
        <v>100</v>
      </c>
      <c r="C67" s="73"/>
      <c r="D67" s="66">
        <f>SUM(D68)</f>
        <v>0</v>
      </c>
      <c r="E67" s="66"/>
      <c r="F67" s="66">
        <f t="shared" si="0"/>
        <v>0</v>
      </c>
      <c r="G67" s="104"/>
      <c r="H67" s="105"/>
    </row>
    <row r="68" spans="1:8" x14ac:dyDescent="0.3">
      <c r="A68" s="64"/>
      <c r="B68" s="67"/>
      <c r="C68" s="68" t="s">
        <v>101</v>
      </c>
      <c r="D68" s="77" t="s">
        <v>37</v>
      </c>
      <c r="E68" s="77" t="s">
        <v>37</v>
      </c>
      <c r="F68" s="77" t="s">
        <v>37</v>
      </c>
      <c r="G68" s="122" t="s">
        <v>37</v>
      </c>
      <c r="H68" s="123" t="s">
        <v>37</v>
      </c>
    </row>
    <row r="69" spans="1:8" x14ac:dyDescent="0.3">
      <c r="A69" s="64"/>
      <c r="B69" s="73" t="s">
        <v>102</v>
      </c>
      <c r="C69" s="73"/>
      <c r="D69" s="66">
        <f>SUM(D70:D71)</f>
        <v>20419</v>
      </c>
      <c r="E69" s="66">
        <f>SUM(E70:E71)</f>
        <v>20419</v>
      </c>
      <c r="F69" s="66">
        <f t="shared" si="0"/>
        <v>0</v>
      </c>
      <c r="G69" s="104"/>
      <c r="H69" s="105"/>
    </row>
    <row r="70" spans="1:8" x14ac:dyDescent="0.3">
      <c r="A70" s="64"/>
      <c r="B70" s="67"/>
      <c r="C70" s="68" t="s">
        <v>103</v>
      </c>
      <c r="D70" s="77">
        <f>H70</f>
        <v>20419</v>
      </c>
      <c r="E70" s="77">
        <v>20419</v>
      </c>
      <c r="F70" s="77" t="s">
        <v>37</v>
      </c>
      <c r="G70" s="106" t="s">
        <v>435</v>
      </c>
      <c r="H70" s="123">
        <f>5000*4+419</f>
        <v>20419</v>
      </c>
    </row>
    <row r="71" spans="1:8" x14ac:dyDescent="0.3">
      <c r="A71" s="64"/>
      <c r="B71" s="67"/>
      <c r="C71" s="68" t="s">
        <v>104</v>
      </c>
      <c r="D71" s="77" t="s">
        <v>37</v>
      </c>
      <c r="E71" s="77" t="s">
        <v>37</v>
      </c>
      <c r="F71" s="77" t="s">
        <v>37</v>
      </c>
      <c r="G71" s="122" t="s">
        <v>37</v>
      </c>
      <c r="H71" s="123" t="s">
        <v>37</v>
      </c>
    </row>
    <row r="72" spans="1:8" x14ac:dyDescent="0.3">
      <c r="A72" s="60" t="s">
        <v>105</v>
      </c>
      <c r="B72" s="61"/>
      <c r="C72" s="61"/>
      <c r="D72" s="62">
        <f>SUM(D73,D75)</f>
        <v>0</v>
      </c>
      <c r="E72" s="62"/>
      <c r="F72" s="62">
        <f t="shared" si="0"/>
        <v>0</v>
      </c>
      <c r="G72" s="102"/>
      <c r="H72" s="103"/>
    </row>
    <row r="73" spans="1:8" x14ac:dyDescent="0.3">
      <c r="A73" s="64"/>
      <c r="B73" s="73" t="s">
        <v>106</v>
      </c>
      <c r="C73" s="73"/>
      <c r="D73" s="66">
        <f>SUM(D74)</f>
        <v>0</v>
      </c>
      <c r="E73" s="66"/>
      <c r="F73" s="66">
        <f t="shared" ref="F73:F89" si="2">D73-E73</f>
        <v>0</v>
      </c>
      <c r="G73" s="104"/>
      <c r="H73" s="105"/>
    </row>
    <row r="74" spans="1:8" x14ac:dyDescent="0.3">
      <c r="A74" s="64"/>
      <c r="B74" s="67"/>
      <c r="C74" s="71" t="s">
        <v>106</v>
      </c>
      <c r="D74" s="77" t="s">
        <v>37</v>
      </c>
      <c r="E74" s="77" t="s">
        <v>37</v>
      </c>
      <c r="F74" s="77" t="s">
        <v>37</v>
      </c>
      <c r="G74" s="122" t="s">
        <v>37</v>
      </c>
      <c r="H74" s="123" t="s">
        <v>37</v>
      </c>
    </row>
    <row r="75" spans="1:8" x14ac:dyDescent="0.3">
      <c r="A75" s="64"/>
      <c r="B75" s="73" t="s">
        <v>107</v>
      </c>
      <c r="C75" s="73"/>
      <c r="D75" s="66">
        <f>SUM(D76)</f>
        <v>0</v>
      </c>
      <c r="E75" s="66"/>
      <c r="F75" s="66">
        <f t="shared" si="2"/>
        <v>0</v>
      </c>
      <c r="G75" s="104"/>
      <c r="H75" s="105"/>
    </row>
    <row r="76" spans="1:8" x14ac:dyDescent="0.3">
      <c r="A76" s="64"/>
      <c r="B76" s="67"/>
      <c r="C76" s="74" t="s">
        <v>107</v>
      </c>
      <c r="D76" s="77" t="s">
        <v>37</v>
      </c>
      <c r="E76" s="77" t="s">
        <v>37</v>
      </c>
      <c r="F76" s="77" t="s">
        <v>37</v>
      </c>
      <c r="G76" s="122" t="s">
        <v>37</v>
      </c>
      <c r="H76" s="123" t="s">
        <v>37</v>
      </c>
    </row>
    <row r="77" spans="1:8" x14ac:dyDescent="0.3">
      <c r="A77" s="60" t="s">
        <v>54</v>
      </c>
      <c r="B77" s="61"/>
      <c r="C77" s="61"/>
      <c r="D77" s="62">
        <f>SUM(D78)</f>
        <v>0</v>
      </c>
      <c r="E77" s="62"/>
      <c r="F77" s="62">
        <f t="shared" si="2"/>
        <v>0</v>
      </c>
      <c r="G77" s="102"/>
      <c r="H77" s="103"/>
    </row>
    <row r="78" spans="1:8" x14ac:dyDescent="0.3">
      <c r="A78" s="64"/>
      <c r="B78" s="73" t="s">
        <v>54</v>
      </c>
      <c r="C78" s="73"/>
      <c r="D78" s="66">
        <f>SUM(D79:D80)</f>
        <v>0</v>
      </c>
      <c r="E78" s="66"/>
      <c r="F78" s="66">
        <f t="shared" si="2"/>
        <v>0</v>
      </c>
      <c r="G78" s="104"/>
      <c r="H78" s="105"/>
    </row>
    <row r="79" spans="1:8" x14ac:dyDescent="0.3">
      <c r="A79" s="64"/>
      <c r="B79" s="67"/>
      <c r="C79" s="71" t="s">
        <v>108</v>
      </c>
      <c r="D79" s="77" t="s">
        <v>37</v>
      </c>
      <c r="E79" s="77" t="s">
        <v>37</v>
      </c>
      <c r="F79" s="77" t="s">
        <v>37</v>
      </c>
      <c r="G79" s="122" t="s">
        <v>37</v>
      </c>
      <c r="H79" s="123" t="s">
        <v>37</v>
      </c>
    </row>
    <row r="80" spans="1:8" x14ac:dyDescent="0.3">
      <c r="A80" s="64"/>
      <c r="B80" s="67"/>
      <c r="C80" s="74" t="s">
        <v>109</v>
      </c>
      <c r="D80" s="77" t="s">
        <v>37</v>
      </c>
      <c r="E80" s="77" t="s">
        <v>37</v>
      </c>
      <c r="F80" s="77" t="s">
        <v>37</v>
      </c>
      <c r="G80" s="122" t="s">
        <v>37</v>
      </c>
      <c r="H80" s="123" t="s">
        <v>37</v>
      </c>
    </row>
    <row r="81" spans="1:8" x14ac:dyDescent="0.3">
      <c r="A81" s="60" t="s">
        <v>110</v>
      </c>
      <c r="B81" s="61"/>
      <c r="C81" s="61"/>
      <c r="D81" s="62">
        <f>SUM(D82,D84,D86)</f>
        <v>0</v>
      </c>
      <c r="E81" s="62"/>
      <c r="F81" s="62">
        <f t="shared" si="2"/>
        <v>0</v>
      </c>
      <c r="G81" s="102"/>
      <c r="H81" s="103"/>
    </row>
    <row r="82" spans="1:8" x14ac:dyDescent="0.3">
      <c r="A82" s="64"/>
      <c r="B82" s="73" t="s">
        <v>111</v>
      </c>
      <c r="C82" s="73"/>
      <c r="D82" s="66">
        <f>SUM(D83)</f>
        <v>0</v>
      </c>
      <c r="E82" s="66"/>
      <c r="F82" s="66">
        <f t="shared" si="2"/>
        <v>0</v>
      </c>
      <c r="G82" s="104"/>
      <c r="H82" s="105"/>
    </row>
    <row r="83" spans="1:8" x14ac:dyDescent="0.3">
      <c r="A83" s="64"/>
      <c r="B83" s="67"/>
      <c r="C83" s="71" t="s">
        <v>111</v>
      </c>
      <c r="D83" s="77" t="s">
        <v>37</v>
      </c>
      <c r="E83" s="77" t="s">
        <v>37</v>
      </c>
      <c r="F83" s="77" t="s">
        <v>37</v>
      </c>
      <c r="G83" s="122" t="s">
        <v>37</v>
      </c>
      <c r="H83" s="123" t="s">
        <v>37</v>
      </c>
    </row>
    <row r="84" spans="1:8" x14ac:dyDescent="0.3">
      <c r="A84" s="64"/>
      <c r="B84" s="73" t="s">
        <v>59</v>
      </c>
      <c r="C84" s="73"/>
      <c r="D84" s="66">
        <f>SUM(D85)</f>
        <v>0</v>
      </c>
      <c r="E84" s="66"/>
      <c r="F84" s="66">
        <f t="shared" si="2"/>
        <v>0</v>
      </c>
      <c r="G84" s="104"/>
      <c r="H84" s="105"/>
    </row>
    <row r="85" spans="1:8" x14ac:dyDescent="0.3">
      <c r="A85" s="64"/>
      <c r="B85" s="67"/>
      <c r="C85" s="74" t="s">
        <v>112</v>
      </c>
      <c r="D85" s="77" t="s">
        <v>37</v>
      </c>
      <c r="E85" s="77" t="s">
        <v>37</v>
      </c>
      <c r="F85" s="77" t="s">
        <v>37</v>
      </c>
      <c r="G85" s="122" t="s">
        <v>37</v>
      </c>
      <c r="H85" s="123" t="s">
        <v>37</v>
      </c>
    </row>
    <row r="86" spans="1:8" x14ac:dyDescent="0.3">
      <c r="A86" s="64"/>
      <c r="B86" s="73" t="s">
        <v>113</v>
      </c>
      <c r="C86" s="73"/>
      <c r="D86" s="66">
        <f>SUM(D87)</f>
        <v>0</v>
      </c>
      <c r="E86" s="66"/>
      <c r="F86" s="66">
        <f t="shared" si="2"/>
        <v>0</v>
      </c>
      <c r="G86" s="104"/>
      <c r="H86" s="105"/>
    </row>
    <row r="87" spans="1:8" x14ac:dyDescent="0.3">
      <c r="A87" s="64"/>
      <c r="B87" s="67"/>
      <c r="C87" s="74" t="s">
        <v>113</v>
      </c>
      <c r="D87" s="77" t="s">
        <v>37</v>
      </c>
      <c r="E87" s="77" t="s">
        <v>37</v>
      </c>
      <c r="F87" s="77" t="s">
        <v>37</v>
      </c>
      <c r="G87" s="122" t="s">
        <v>37</v>
      </c>
      <c r="H87" s="123" t="s">
        <v>37</v>
      </c>
    </row>
    <row r="88" spans="1:8" x14ac:dyDescent="0.3">
      <c r="A88" s="60" t="s">
        <v>63</v>
      </c>
      <c r="B88" s="61"/>
      <c r="C88" s="61"/>
      <c r="D88" s="62">
        <f>SUM(D89)</f>
        <v>1843632</v>
      </c>
      <c r="E88" s="62">
        <f>SUM(E89)</f>
        <v>1620000</v>
      </c>
      <c r="F88" s="62">
        <f t="shared" si="2"/>
        <v>223632</v>
      </c>
      <c r="G88" s="102"/>
      <c r="H88" s="103"/>
    </row>
    <row r="89" spans="1:8" x14ac:dyDescent="0.3">
      <c r="A89" s="64"/>
      <c r="B89" s="73" t="s">
        <v>114</v>
      </c>
      <c r="C89" s="73"/>
      <c r="D89" s="66">
        <f>SUM(D90:D91)</f>
        <v>1843632</v>
      </c>
      <c r="E89" s="66">
        <f>SUM(E90:E91)</f>
        <v>1620000</v>
      </c>
      <c r="F89" s="66">
        <f t="shared" si="2"/>
        <v>223632</v>
      </c>
      <c r="G89" s="104"/>
      <c r="H89" s="105"/>
    </row>
    <row r="90" spans="1:8" x14ac:dyDescent="0.3">
      <c r="A90" s="64"/>
      <c r="B90" s="67"/>
      <c r="C90" s="68" t="s">
        <v>115</v>
      </c>
      <c r="D90" s="75"/>
      <c r="E90" s="75"/>
      <c r="F90" s="75"/>
      <c r="G90" s="100"/>
      <c r="H90" s="101"/>
    </row>
    <row r="91" spans="1:8" ht="33.75" x14ac:dyDescent="0.3">
      <c r="A91" s="64"/>
      <c r="B91" s="67"/>
      <c r="C91" s="74" t="s">
        <v>116</v>
      </c>
      <c r="D91" s="75">
        <f>H91</f>
        <v>1843632</v>
      </c>
      <c r="E91" s="75">
        <v>1620000</v>
      </c>
      <c r="F91" s="75">
        <f t="shared" ref="F91" si="3">D91-E91</f>
        <v>223632</v>
      </c>
      <c r="G91" s="181" t="s">
        <v>462</v>
      </c>
      <c r="H91" s="182">
        <v>1843632</v>
      </c>
    </row>
    <row r="92" spans="1:8" ht="17.25" thickBot="1" x14ac:dyDescent="0.35">
      <c r="A92" s="78" t="s">
        <v>117</v>
      </c>
      <c r="B92" s="79"/>
      <c r="C92" s="79"/>
      <c r="D92" s="80">
        <f>D88+D60+D43+D5</f>
        <v>12524668</v>
      </c>
      <c r="E92" s="80">
        <f>E88+E60+E43+E5</f>
        <v>12301036</v>
      </c>
      <c r="F92" s="80">
        <f>D92-E92</f>
        <v>223632</v>
      </c>
      <c r="G92" s="124"/>
      <c r="H92" s="125"/>
    </row>
    <row r="93" spans="1:8" x14ac:dyDescent="0.3">
      <c r="A93" s="81"/>
      <c r="B93" s="81"/>
      <c r="C93" s="81"/>
      <c r="D93" s="111">
        <f>D92-'(학교회계)2020 1차 추경 세출예산서'!D452</f>
        <v>0</v>
      </c>
      <c r="E93" s="53"/>
      <c r="F93" s="53"/>
      <c r="H93" s="126"/>
    </row>
  </sheetData>
  <mergeCells count="5">
    <mergeCell ref="A1:H1"/>
    <mergeCell ref="D3:D4"/>
    <mergeCell ref="E3:E4"/>
    <mergeCell ref="F3:F4"/>
    <mergeCell ref="G3:H4"/>
  </mergeCells>
  <phoneticPr fontId="16" type="noConversion"/>
  <pageMargins left="0.39370078740157483" right="0.39370078740157483" top="0.74803149606299213" bottom="0.74803149606299213" header="0.31496062992125984" footer="0.31496062992125984"/>
  <pageSetup paperSize="9" scale="62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3"/>
  <sheetViews>
    <sheetView tabSelected="1" topLeftCell="A2" zoomScale="145" zoomScaleNormal="145" workbookViewId="0">
      <selection activeCell="J317" sqref="J317"/>
    </sheetView>
  </sheetViews>
  <sheetFormatPr defaultRowHeight="16.5" x14ac:dyDescent="0.3"/>
  <cols>
    <col min="1" max="2" width="4.25" customWidth="1"/>
    <col min="3" max="3" width="10" customWidth="1"/>
    <col min="4" max="4" width="10.625" customWidth="1"/>
    <col min="5" max="5" width="12.375" customWidth="1"/>
    <col min="6" max="6" width="12.25" customWidth="1"/>
    <col min="7" max="7" width="42.875" style="160" customWidth="1"/>
    <col min="8" max="8" width="14.25" style="160" bestFit="1" customWidth="1"/>
    <col min="9" max="9" width="9.5" bestFit="1" customWidth="1"/>
  </cols>
  <sheetData>
    <row r="1" spans="1:8" ht="33.75" x14ac:dyDescent="0.3">
      <c r="A1" s="189" t="s">
        <v>450</v>
      </c>
      <c r="B1" s="190"/>
      <c r="C1" s="190"/>
      <c r="D1" s="190"/>
      <c r="E1" s="190"/>
      <c r="F1" s="190"/>
      <c r="G1" s="190"/>
      <c r="H1" s="190"/>
    </row>
    <row r="2" spans="1:8" ht="17.25" thickBot="1" x14ac:dyDescent="0.35">
      <c r="A2" s="1"/>
      <c r="B2" s="2"/>
      <c r="C2" s="1"/>
      <c r="D2" s="3"/>
      <c r="E2" s="3"/>
      <c r="F2" s="3"/>
      <c r="G2" s="127"/>
      <c r="H2" s="128"/>
    </row>
    <row r="3" spans="1:8" ht="16.5" customHeight="1" x14ac:dyDescent="0.3">
      <c r="A3" s="4" t="s">
        <v>0</v>
      </c>
      <c r="B3" s="5"/>
      <c r="C3" s="6"/>
      <c r="D3" s="185" t="s">
        <v>466</v>
      </c>
      <c r="E3" s="185" t="s">
        <v>465</v>
      </c>
      <c r="F3" s="191" t="s">
        <v>1</v>
      </c>
      <c r="G3" s="193" t="s">
        <v>142</v>
      </c>
      <c r="H3" s="194"/>
    </row>
    <row r="4" spans="1:8" x14ac:dyDescent="0.3">
      <c r="A4" s="7" t="s">
        <v>2</v>
      </c>
      <c r="B4" s="8" t="s">
        <v>3</v>
      </c>
      <c r="C4" s="9" t="s">
        <v>4</v>
      </c>
      <c r="D4" s="186"/>
      <c r="E4" s="186"/>
      <c r="F4" s="192"/>
      <c r="G4" s="195"/>
      <c r="H4" s="196"/>
    </row>
    <row r="5" spans="1:8" x14ac:dyDescent="0.3">
      <c r="A5" s="10" t="s">
        <v>5</v>
      </c>
      <c r="B5" s="11"/>
      <c r="C5" s="12"/>
      <c r="D5" s="13">
        <f>D6+D27</f>
        <v>6175540</v>
      </c>
      <c r="E5" s="13">
        <f>E6+E27</f>
        <v>6175540</v>
      </c>
      <c r="F5" s="13">
        <f>D5-E5</f>
        <v>0</v>
      </c>
      <c r="G5" s="129"/>
      <c r="H5" s="130"/>
    </row>
    <row r="6" spans="1:8" x14ac:dyDescent="0.3">
      <c r="A6" s="14"/>
      <c r="B6" s="15" t="s">
        <v>6</v>
      </c>
      <c r="C6" s="16"/>
      <c r="D6" s="17">
        <f>SUM(D7:D7)</f>
        <v>4677200</v>
      </c>
      <c r="E6" s="17">
        <f>SUM(E7:E7)</f>
        <v>4677200</v>
      </c>
      <c r="F6" s="17">
        <f>D6-E6</f>
        <v>0</v>
      </c>
      <c r="G6" s="131"/>
      <c r="H6" s="132"/>
    </row>
    <row r="7" spans="1:8" x14ac:dyDescent="0.3">
      <c r="A7" s="14"/>
      <c r="B7" s="18"/>
      <c r="C7" s="19" t="s">
        <v>6</v>
      </c>
      <c r="D7" s="20">
        <f>H26</f>
        <v>4677200</v>
      </c>
      <c r="E7" s="20">
        <v>4677200</v>
      </c>
      <c r="F7" s="20">
        <f>D7-E7</f>
        <v>0</v>
      </c>
      <c r="G7" s="133" t="s">
        <v>143</v>
      </c>
      <c r="H7" s="134"/>
    </row>
    <row r="8" spans="1:8" x14ac:dyDescent="0.3">
      <c r="A8" s="14"/>
      <c r="B8" s="18"/>
      <c r="C8" s="22"/>
      <c r="D8" s="23"/>
      <c r="E8" s="23"/>
      <c r="F8" s="23"/>
      <c r="G8" s="135" t="s">
        <v>430</v>
      </c>
      <c r="H8" s="46">
        <f>4000*57*12</f>
        <v>2736000</v>
      </c>
    </row>
    <row r="9" spans="1:8" x14ac:dyDescent="0.3">
      <c r="A9" s="14"/>
      <c r="B9" s="18"/>
      <c r="C9" s="22"/>
      <c r="D9" s="23"/>
      <c r="E9" s="23"/>
      <c r="F9" s="23"/>
      <c r="G9" s="135" t="s">
        <v>144</v>
      </c>
      <c r="H9" s="46">
        <f>14000*12</f>
        <v>168000</v>
      </c>
    </row>
    <row r="10" spans="1:8" x14ac:dyDescent="0.3">
      <c r="A10" s="14"/>
      <c r="B10" s="18"/>
      <c r="C10" s="22"/>
      <c r="D10" s="23"/>
      <c r="E10" s="23"/>
      <c r="F10" s="23"/>
      <c r="G10" s="135" t="s">
        <v>145</v>
      </c>
      <c r="H10" s="46">
        <f>700*12</f>
        <v>8400</v>
      </c>
    </row>
    <row r="11" spans="1:8" x14ac:dyDescent="0.3">
      <c r="A11" s="14"/>
      <c r="B11" s="18"/>
      <c r="C11" s="22"/>
      <c r="D11" s="23"/>
      <c r="E11" s="23"/>
      <c r="F11" s="23"/>
      <c r="G11" s="135" t="s">
        <v>146</v>
      </c>
      <c r="H11" s="46">
        <f>300*12*12</f>
        <v>43200</v>
      </c>
    </row>
    <row r="12" spans="1:8" x14ac:dyDescent="0.3">
      <c r="A12" s="14"/>
      <c r="B12" s="18"/>
      <c r="C12" s="22"/>
      <c r="D12" s="23"/>
      <c r="E12" s="23"/>
      <c r="F12" s="23"/>
      <c r="G12" s="135" t="s">
        <v>147</v>
      </c>
      <c r="H12" s="46">
        <f>1500*40*12</f>
        <v>720000</v>
      </c>
    </row>
    <row r="13" spans="1:8" x14ac:dyDescent="0.3">
      <c r="A13" s="14"/>
      <c r="B13" s="18"/>
      <c r="C13" s="22"/>
      <c r="D13" s="23"/>
      <c r="E13" s="23"/>
      <c r="F13" s="23"/>
      <c r="G13" s="135" t="s">
        <v>148</v>
      </c>
      <c r="H13" s="46">
        <f>200*4*12</f>
        <v>9600</v>
      </c>
    </row>
    <row r="14" spans="1:8" x14ac:dyDescent="0.3">
      <c r="A14" s="14"/>
      <c r="B14" s="18"/>
      <c r="C14" s="22"/>
      <c r="D14" s="23"/>
      <c r="E14" s="23"/>
      <c r="F14" s="23"/>
      <c r="G14" s="135" t="s">
        <v>149</v>
      </c>
      <c r="H14" s="46">
        <f>200*2*11*12</f>
        <v>52800</v>
      </c>
    </row>
    <row r="15" spans="1:8" x14ac:dyDescent="0.3">
      <c r="A15" s="14"/>
      <c r="B15" s="18"/>
      <c r="C15" s="22"/>
      <c r="D15" s="23"/>
      <c r="E15" s="23"/>
      <c r="F15" s="23"/>
      <c r="G15" s="135" t="s">
        <v>150</v>
      </c>
      <c r="H15" s="46">
        <f>200*3*12</f>
        <v>7200</v>
      </c>
    </row>
    <row r="16" spans="1:8" x14ac:dyDescent="0.3">
      <c r="A16" s="14"/>
      <c r="B16" s="18"/>
      <c r="C16" s="22"/>
      <c r="D16" s="23"/>
      <c r="E16" s="23"/>
      <c r="F16" s="23"/>
      <c r="G16" s="135" t="s">
        <v>151</v>
      </c>
      <c r="H16" s="46">
        <f>200*2*3*12</f>
        <v>14400</v>
      </c>
    </row>
    <row r="17" spans="1:8" x14ac:dyDescent="0.3">
      <c r="A17" s="14"/>
      <c r="B17" s="18"/>
      <c r="C17" s="22"/>
      <c r="D17" s="23"/>
      <c r="E17" s="23"/>
      <c r="F17" s="23"/>
      <c r="G17" s="135" t="s">
        <v>152</v>
      </c>
      <c r="H17" s="46">
        <f>7000*12</f>
        <v>84000</v>
      </c>
    </row>
    <row r="18" spans="1:8" x14ac:dyDescent="0.3">
      <c r="A18" s="14"/>
      <c r="B18" s="18"/>
      <c r="C18" s="22"/>
      <c r="D18" s="23"/>
      <c r="E18" s="23"/>
      <c r="F18" s="23"/>
      <c r="G18" s="135" t="s">
        <v>153</v>
      </c>
      <c r="H18" s="46">
        <f>100*2*12</f>
        <v>2400</v>
      </c>
    </row>
    <row r="19" spans="1:8" x14ac:dyDescent="0.3">
      <c r="A19" s="14"/>
      <c r="B19" s="18"/>
      <c r="C19" s="22"/>
      <c r="D19" s="23"/>
      <c r="E19" s="23"/>
      <c r="F19" s="23"/>
      <c r="G19" s="135" t="s">
        <v>154</v>
      </c>
      <c r="H19" s="46">
        <f>10*3*10*12</f>
        <v>3600</v>
      </c>
    </row>
    <row r="20" spans="1:8" x14ac:dyDescent="0.3">
      <c r="A20" s="14"/>
      <c r="B20" s="18"/>
      <c r="C20" s="22"/>
      <c r="D20" s="23"/>
      <c r="E20" s="23"/>
      <c r="F20" s="23"/>
      <c r="G20" s="135" t="s">
        <v>155</v>
      </c>
      <c r="H20" s="46">
        <f>8000*12</f>
        <v>96000</v>
      </c>
    </row>
    <row r="21" spans="1:8" x14ac:dyDescent="0.3">
      <c r="A21" s="14"/>
      <c r="B21" s="18"/>
      <c r="C21" s="22"/>
      <c r="D21" s="23"/>
      <c r="E21" s="23"/>
      <c r="F21" s="23"/>
      <c r="G21" s="135" t="s">
        <v>156</v>
      </c>
      <c r="H21" s="46">
        <f>40000*2</f>
        <v>80000</v>
      </c>
    </row>
    <row r="22" spans="1:8" x14ac:dyDescent="0.3">
      <c r="A22" s="14"/>
      <c r="B22" s="18"/>
      <c r="C22" s="22"/>
      <c r="D22" s="23"/>
      <c r="E22" s="23"/>
      <c r="F22" s="23"/>
      <c r="G22" s="135" t="s">
        <v>157</v>
      </c>
      <c r="H22" s="46">
        <f>25000*12*0.17</f>
        <v>51000.000000000007</v>
      </c>
    </row>
    <row r="23" spans="1:8" x14ac:dyDescent="0.3">
      <c r="A23" s="14"/>
      <c r="B23" s="18"/>
      <c r="C23" s="22"/>
      <c r="D23" s="23"/>
      <c r="E23" s="23"/>
      <c r="F23" s="23"/>
      <c r="G23" s="135" t="s">
        <v>158</v>
      </c>
      <c r="H23" s="46">
        <f>4000*12</f>
        <v>48000</v>
      </c>
    </row>
    <row r="24" spans="1:8" x14ac:dyDescent="0.3">
      <c r="A24" s="14"/>
      <c r="B24" s="18"/>
      <c r="C24" s="22"/>
      <c r="D24" s="23"/>
      <c r="E24" s="23"/>
      <c r="F24" s="23"/>
      <c r="G24" s="135" t="s">
        <v>159</v>
      </c>
      <c r="H24" s="46">
        <f>1200*38*12</f>
        <v>547200</v>
      </c>
    </row>
    <row r="25" spans="1:8" x14ac:dyDescent="0.3">
      <c r="A25" s="14"/>
      <c r="B25" s="18"/>
      <c r="C25" s="22"/>
      <c r="D25" s="23"/>
      <c r="E25" s="23"/>
      <c r="F25" s="23"/>
      <c r="G25" s="135" t="s">
        <v>160</v>
      </c>
      <c r="H25" s="46">
        <f>10*3*20*9</f>
        <v>5400</v>
      </c>
    </row>
    <row r="26" spans="1:8" x14ac:dyDescent="0.3">
      <c r="A26" s="14"/>
      <c r="B26" s="18"/>
      <c r="C26" s="25"/>
      <c r="D26" s="26"/>
      <c r="E26" s="26"/>
      <c r="F26" s="26"/>
      <c r="G26" s="136" t="s">
        <v>161</v>
      </c>
      <c r="H26" s="137">
        <f>SUM(H8:H25)</f>
        <v>4677200</v>
      </c>
    </row>
    <row r="27" spans="1:8" x14ac:dyDescent="0.3">
      <c r="A27" s="14"/>
      <c r="B27" s="27" t="s">
        <v>8</v>
      </c>
      <c r="C27" s="28"/>
      <c r="D27" s="29">
        <f>SUM(D28)</f>
        <v>1498340</v>
      </c>
      <c r="E27" s="29">
        <f>E28</f>
        <v>1498340</v>
      </c>
      <c r="F27" s="29">
        <f>D27-E27</f>
        <v>0</v>
      </c>
      <c r="G27" s="138"/>
      <c r="H27" s="139"/>
    </row>
    <row r="28" spans="1:8" x14ac:dyDescent="0.3">
      <c r="A28" s="14"/>
      <c r="B28" s="18"/>
      <c r="C28" s="19" t="s">
        <v>9</v>
      </c>
      <c r="D28" s="20">
        <f>H44+H53+H56</f>
        <v>1498340</v>
      </c>
      <c r="E28" s="20">
        <v>1498340</v>
      </c>
      <c r="F28" s="20">
        <f>D28-E28</f>
        <v>0</v>
      </c>
      <c r="G28" s="133" t="s">
        <v>162</v>
      </c>
      <c r="H28" s="134"/>
    </row>
    <row r="29" spans="1:8" x14ac:dyDescent="0.3">
      <c r="A29" s="14"/>
      <c r="B29" s="18"/>
      <c r="C29" s="22"/>
      <c r="D29" s="23"/>
      <c r="E29" s="23"/>
      <c r="F29" s="23"/>
      <c r="G29" s="135" t="s">
        <v>163</v>
      </c>
      <c r="H29" s="46">
        <f>3500*20*12</f>
        <v>840000</v>
      </c>
    </row>
    <row r="30" spans="1:8" x14ac:dyDescent="0.3">
      <c r="A30" s="14"/>
      <c r="B30" s="18"/>
      <c r="C30" s="22"/>
      <c r="D30" s="23"/>
      <c r="E30" s="23"/>
      <c r="F30" s="23"/>
      <c r="G30" s="135" t="s">
        <v>164</v>
      </c>
      <c r="H30" s="46">
        <f>2500*12</f>
        <v>30000</v>
      </c>
    </row>
    <row r="31" spans="1:8" x14ac:dyDescent="0.3">
      <c r="A31" s="14"/>
      <c r="B31" s="18"/>
      <c r="C31" s="22"/>
      <c r="D31" s="23"/>
      <c r="E31" s="23"/>
      <c r="F31" s="23"/>
      <c r="G31" s="135" t="s">
        <v>165</v>
      </c>
      <c r="H31" s="46">
        <f>500*12</f>
        <v>6000</v>
      </c>
    </row>
    <row r="32" spans="1:8" x14ac:dyDescent="0.3">
      <c r="A32" s="14"/>
      <c r="B32" s="18"/>
      <c r="C32" s="22"/>
      <c r="D32" s="23"/>
      <c r="E32" s="23"/>
      <c r="F32" s="23"/>
      <c r="G32" s="135" t="s">
        <v>166</v>
      </c>
      <c r="H32" s="46">
        <f>300*2*12</f>
        <v>7200</v>
      </c>
    </row>
    <row r="33" spans="1:8" x14ac:dyDescent="0.3">
      <c r="A33" s="14"/>
      <c r="B33" s="18"/>
      <c r="C33" s="22"/>
      <c r="D33" s="23"/>
      <c r="E33" s="23"/>
      <c r="F33" s="23"/>
      <c r="G33" s="135" t="s">
        <v>167</v>
      </c>
      <c r="H33" s="46">
        <f>200*2*12</f>
        <v>4800</v>
      </c>
    </row>
    <row r="34" spans="1:8" x14ac:dyDescent="0.3">
      <c r="A34" s="14"/>
      <c r="B34" s="18"/>
      <c r="C34" s="22"/>
      <c r="D34" s="23"/>
      <c r="E34" s="23"/>
      <c r="F34" s="23"/>
      <c r="G34" s="135" t="s">
        <v>168</v>
      </c>
      <c r="H34" s="46">
        <f>1500*10*12</f>
        <v>180000</v>
      </c>
    </row>
    <row r="35" spans="1:8" x14ac:dyDescent="0.3">
      <c r="A35" s="14"/>
      <c r="B35" s="18"/>
      <c r="C35" s="22"/>
      <c r="D35" s="23"/>
      <c r="E35" s="23"/>
      <c r="F35" s="23"/>
      <c r="G35" s="135" t="s">
        <v>169</v>
      </c>
      <c r="H35" s="46">
        <f>6000*12</f>
        <v>72000</v>
      </c>
    </row>
    <row r="36" spans="1:8" x14ac:dyDescent="0.3">
      <c r="A36" s="14"/>
      <c r="B36" s="18"/>
      <c r="C36" s="22"/>
      <c r="D36" s="23"/>
      <c r="E36" s="23"/>
      <c r="F36" s="23"/>
      <c r="G36" s="135" t="s">
        <v>170</v>
      </c>
      <c r="H36" s="46">
        <f>4000*12</f>
        <v>48000</v>
      </c>
    </row>
    <row r="37" spans="1:8" x14ac:dyDescent="0.3">
      <c r="A37" s="14"/>
      <c r="B37" s="18"/>
      <c r="C37" s="22"/>
      <c r="D37" s="23"/>
      <c r="E37" s="23"/>
      <c r="F37" s="23"/>
      <c r="G37" s="135" t="s">
        <v>171</v>
      </c>
      <c r="H37" s="46">
        <f>2500</f>
        <v>2500</v>
      </c>
    </row>
    <row r="38" spans="1:8" x14ac:dyDescent="0.3">
      <c r="A38" s="14"/>
      <c r="B38" s="18"/>
      <c r="C38" s="22"/>
      <c r="D38" s="23"/>
      <c r="E38" s="23"/>
      <c r="F38" s="23"/>
      <c r="G38" s="135" t="s">
        <v>172</v>
      </c>
      <c r="H38" s="46">
        <f>10000*2</f>
        <v>20000</v>
      </c>
    </row>
    <row r="39" spans="1:8" x14ac:dyDescent="0.3">
      <c r="A39" s="14"/>
      <c r="B39" s="18"/>
      <c r="C39" s="22"/>
      <c r="D39" s="23"/>
      <c r="E39" s="23"/>
      <c r="F39" s="23"/>
      <c r="G39" s="135" t="s">
        <v>173</v>
      </c>
      <c r="H39" s="46">
        <f>400*2*12</f>
        <v>9600</v>
      </c>
    </row>
    <row r="40" spans="1:8" x14ac:dyDescent="0.3">
      <c r="A40" s="14"/>
      <c r="B40" s="18"/>
      <c r="C40" s="22"/>
      <c r="D40" s="23"/>
      <c r="E40" s="23"/>
      <c r="F40" s="23"/>
      <c r="G40" s="135" t="s">
        <v>174</v>
      </c>
      <c r="H40" s="46">
        <f>10000*12*0.17</f>
        <v>20400</v>
      </c>
    </row>
    <row r="41" spans="1:8" x14ac:dyDescent="0.3">
      <c r="A41" s="14"/>
      <c r="B41" s="18"/>
      <c r="C41" s="22"/>
      <c r="D41" s="23"/>
      <c r="E41" s="23"/>
      <c r="F41" s="23"/>
      <c r="G41" s="135" t="s">
        <v>10</v>
      </c>
      <c r="H41" s="46">
        <f>2000*12</f>
        <v>24000</v>
      </c>
    </row>
    <row r="42" spans="1:8" x14ac:dyDescent="0.3">
      <c r="A42" s="14"/>
      <c r="B42" s="18"/>
      <c r="C42" s="22"/>
      <c r="D42" s="23"/>
      <c r="E42" s="23"/>
      <c r="F42" s="23"/>
      <c r="G42" s="135" t="s">
        <v>175</v>
      </c>
      <c r="H42" s="46">
        <f>1200*6*12</f>
        <v>86400</v>
      </c>
    </row>
    <row r="43" spans="1:8" x14ac:dyDescent="0.3">
      <c r="A43" s="14"/>
      <c r="B43" s="18"/>
      <c r="C43" s="22"/>
      <c r="D43" s="23"/>
      <c r="E43" s="23"/>
      <c r="F43" s="23"/>
      <c r="G43" s="135" t="s">
        <v>176</v>
      </c>
      <c r="H43" s="46">
        <f>10*2*20*9</f>
        <v>3600</v>
      </c>
    </row>
    <row r="44" spans="1:8" x14ac:dyDescent="0.3">
      <c r="A44" s="14"/>
      <c r="B44" s="18"/>
      <c r="C44" s="22"/>
      <c r="D44" s="23"/>
      <c r="E44" s="23"/>
      <c r="F44" s="23"/>
      <c r="G44" s="140" t="s">
        <v>161</v>
      </c>
      <c r="H44" s="141">
        <f>SUM(H29:H43)</f>
        <v>1354500</v>
      </c>
    </row>
    <row r="45" spans="1:8" x14ac:dyDescent="0.3">
      <c r="A45" s="14"/>
      <c r="B45" s="18"/>
      <c r="C45" s="22"/>
      <c r="D45" s="23"/>
      <c r="E45" s="23"/>
      <c r="F45" s="23"/>
      <c r="G45" s="133" t="s">
        <v>177</v>
      </c>
      <c r="H45" s="134"/>
    </row>
    <row r="46" spans="1:8" x14ac:dyDescent="0.3">
      <c r="A46" s="14"/>
      <c r="B46" s="18"/>
      <c r="C46" s="22"/>
      <c r="D46" s="23"/>
      <c r="E46" s="23"/>
      <c r="F46" s="23"/>
      <c r="G46" s="142" t="s">
        <v>178</v>
      </c>
      <c r="H46" s="46"/>
    </row>
    <row r="47" spans="1:8" x14ac:dyDescent="0.3">
      <c r="A47" s="14"/>
      <c r="B47" s="18"/>
      <c r="C47" s="22"/>
      <c r="D47" s="23"/>
      <c r="E47" s="23"/>
      <c r="F47" s="23"/>
      <c r="G47" s="45" t="s">
        <v>179</v>
      </c>
      <c r="H47" s="46">
        <f>8020*8</f>
        <v>64160</v>
      </c>
    </row>
    <row r="48" spans="1:8" x14ac:dyDescent="0.3">
      <c r="A48" s="14"/>
      <c r="B48" s="18"/>
      <c r="C48" s="22"/>
      <c r="D48" s="23"/>
      <c r="E48" s="23"/>
      <c r="F48" s="23"/>
      <c r="G48" s="45" t="s">
        <v>180</v>
      </c>
      <c r="H48" s="46">
        <f>60*7*24</f>
        <v>10080</v>
      </c>
    </row>
    <row r="49" spans="1:8" x14ac:dyDescent="0.3">
      <c r="A49" s="14"/>
      <c r="B49" s="18"/>
      <c r="C49" s="22"/>
      <c r="D49" s="23"/>
      <c r="E49" s="23"/>
      <c r="F49" s="23"/>
      <c r="G49" s="45" t="s">
        <v>181</v>
      </c>
      <c r="H49" s="46">
        <f>60*5*2*8</f>
        <v>4800</v>
      </c>
    </row>
    <row r="50" spans="1:8" x14ac:dyDescent="0.3">
      <c r="A50" s="14"/>
      <c r="B50" s="18"/>
      <c r="C50" s="22"/>
      <c r="D50" s="23"/>
      <c r="E50" s="23"/>
      <c r="F50" s="23"/>
      <c r="G50" s="142" t="s">
        <v>182</v>
      </c>
      <c r="H50" s="46"/>
    </row>
    <row r="51" spans="1:8" x14ac:dyDescent="0.3">
      <c r="A51" s="14"/>
      <c r="B51" s="18"/>
      <c r="C51" s="22"/>
      <c r="D51" s="23"/>
      <c r="E51" s="23"/>
      <c r="F51" s="23"/>
      <c r="G51" s="143" t="s">
        <v>183</v>
      </c>
      <c r="H51" s="50">
        <f>13*3*20*9*4</f>
        <v>28080</v>
      </c>
    </row>
    <row r="52" spans="1:8" x14ac:dyDescent="0.3">
      <c r="A52" s="14"/>
      <c r="B52" s="18"/>
      <c r="C52" s="22"/>
      <c r="D52" s="23"/>
      <c r="E52" s="23"/>
      <c r="F52" s="23"/>
      <c r="G52" s="47" t="s">
        <v>184</v>
      </c>
      <c r="H52" s="48">
        <f>12*8*20*8*2</f>
        <v>30720</v>
      </c>
    </row>
    <row r="53" spans="1:8" x14ac:dyDescent="0.3">
      <c r="A53" s="14"/>
      <c r="B53" s="18"/>
      <c r="C53" s="22"/>
      <c r="D53" s="23"/>
      <c r="E53" s="23"/>
      <c r="F53" s="23"/>
      <c r="G53" s="140" t="s">
        <v>161</v>
      </c>
      <c r="H53" s="141">
        <f>SUM(H47:H52)</f>
        <v>137840</v>
      </c>
    </row>
    <row r="54" spans="1:8" x14ac:dyDescent="0.3">
      <c r="A54" s="14"/>
      <c r="B54" s="18"/>
      <c r="C54" s="22"/>
      <c r="D54" s="23"/>
      <c r="E54" s="23"/>
      <c r="F54" s="23"/>
      <c r="G54" s="133" t="s">
        <v>185</v>
      </c>
      <c r="H54" s="134"/>
    </row>
    <row r="55" spans="1:8" x14ac:dyDescent="0.3">
      <c r="A55" s="14"/>
      <c r="B55" s="18"/>
      <c r="C55" s="22"/>
      <c r="D55" s="23"/>
      <c r="E55" s="23"/>
      <c r="F55" s="23"/>
      <c r="G55" s="47" t="s">
        <v>186</v>
      </c>
      <c r="H55" s="48">
        <f>100*30*2</f>
        <v>6000</v>
      </c>
    </row>
    <row r="56" spans="1:8" x14ac:dyDescent="0.3">
      <c r="A56" s="14"/>
      <c r="B56" s="18"/>
      <c r="C56" s="25"/>
      <c r="D56" s="26"/>
      <c r="E56" s="26"/>
      <c r="F56" s="26"/>
      <c r="G56" s="140" t="s">
        <v>161</v>
      </c>
      <c r="H56" s="141">
        <f>H55</f>
        <v>6000</v>
      </c>
    </row>
    <row r="57" spans="1:8" x14ac:dyDescent="0.3">
      <c r="A57" s="14"/>
      <c r="B57" s="27" t="s">
        <v>11</v>
      </c>
      <c r="C57" s="28"/>
      <c r="D57" s="29">
        <f>SUM(D58:D58)</f>
        <v>0</v>
      </c>
      <c r="E57" s="29"/>
      <c r="F57" s="29"/>
      <c r="G57" s="138"/>
      <c r="H57" s="139"/>
    </row>
    <row r="58" spans="1:8" x14ac:dyDescent="0.3">
      <c r="A58" s="14"/>
      <c r="B58" s="18"/>
      <c r="C58" s="19" t="s">
        <v>11</v>
      </c>
      <c r="D58" s="30"/>
      <c r="E58" s="30"/>
      <c r="F58" s="30"/>
      <c r="G58" s="144"/>
      <c r="H58" s="145"/>
    </row>
    <row r="59" spans="1:8" x14ac:dyDescent="0.3">
      <c r="A59" s="10" t="s">
        <v>12</v>
      </c>
      <c r="B59" s="11"/>
      <c r="C59" s="12"/>
      <c r="D59" s="13">
        <f>SUM(D60,D155,D293,D326)</f>
        <v>2996086</v>
      </c>
      <c r="E59" s="13">
        <f>SUM(E60,E155,E293,E326)</f>
        <v>2924146</v>
      </c>
      <c r="F59" s="13">
        <f>D59-E59</f>
        <v>71940</v>
      </c>
      <c r="G59" s="129"/>
      <c r="H59" s="146"/>
    </row>
    <row r="60" spans="1:8" x14ac:dyDescent="0.3">
      <c r="A60" s="14"/>
      <c r="B60" s="15" t="s">
        <v>13</v>
      </c>
      <c r="C60" s="31"/>
      <c r="D60" s="29">
        <f>SUM(D61:D135)</f>
        <v>2058428</v>
      </c>
      <c r="E60" s="29">
        <f>E61+E69+E86+E91+E94+E105+E108+E118+E125+E135</f>
        <v>2018428</v>
      </c>
      <c r="F60" s="29">
        <f>D60-E60</f>
        <v>40000</v>
      </c>
      <c r="G60" s="138"/>
      <c r="H60" s="139"/>
    </row>
    <row r="61" spans="1:8" x14ac:dyDescent="0.3">
      <c r="A61" s="14"/>
      <c r="B61" s="18"/>
      <c r="C61" s="19" t="s">
        <v>14</v>
      </c>
      <c r="D61" s="20">
        <f>H68</f>
        <v>266800</v>
      </c>
      <c r="E61" s="20">
        <v>266800</v>
      </c>
      <c r="F61" s="20">
        <f>D61-E61</f>
        <v>0</v>
      </c>
      <c r="G61" s="133" t="s">
        <v>187</v>
      </c>
      <c r="H61" s="134"/>
    </row>
    <row r="62" spans="1:8" x14ac:dyDescent="0.3">
      <c r="A62" s="14"/>
      <c r="B62" s="18"/>
      <c r="C62" s="22"/>
      <c r="D62" s="23"/>
      <c r="E62" s="23"/>
      <c r="F62" s="23"/>
      <c r="G62" s="45" t="s">
        <v>188</v>
      </c>
      <c r="H62" s="46">
        <f>2300*12</f>
        <v>27600</v>
      </c>
    </row>
    <row r="63" spans="1:8" x14ac:dyDescent="0.3">
      <c r="A63" s="14"/>
      <c r="B63" s="18"/>
      <c r="C63" s="22"/>
      <c r="D63" s="23"/>
      <c r="E63" s="23"/>
      <c r="F63" s="23"/>
      <c r="G63" s="45" t="s">
        <v>189</v>
      </c>
      <c r="H63" s="46">
        <f>400*4*12</f>
        <v>19200</v>
      </c>
    </row>
    <row r="64" spans="1:8" x14ac:dyDescent="0.3">
      <c r="A64" s="14"/>
      <c r="B64" s="18"/>
      <c r="C64" s="22"/>
      <c r="D64" s="23"/>
      <c r="E64" s="23"/>
      <c r="F64" s="23"/>
      <c r="G64" s="45" t="s">
        <v>190</v>
      </c>
      <c r="H64" s="46">
        <f>15000*12</f>
        <v>180000</v>
      </c>
    </row>
    <row r="65" spans="1:8" x14ac:dyDescent="0.3">
      <c r="A65" s="14"/>
      <c r="B65" s="18"/>
      <c r="C65" s="22"/>
      <c r="D65" s="23"/>
      <c r="E65" s="23"/>
      <c r="F65" s="23"/>
      <c r="G65" s="45" t="s">
        <v>191</v>
      </c>
      <c r="H65" s="46">
        <f>2000*12</f>
        <v>24000</v>
      </c>
    </row>
    <row r="66" spans="1:8" x14ac:dyDescent="0.3">
      <c r="A66" s="14"/>
      <c r="B66" s="18"/>
      <c r="C66" s="22"/>
      <c r="D66" s="23"/>
      <c r="E66" s="23"/>
      <c r="F66" s="23"/>
      <c r="G66" s="47" t="s">
        <v>192</v>
      </c>
      <c r="H66" s="48">
        <f>3000*4</f>
        <v>12000</v>
      </c>
    </row>
    <row r="67" spans="1:8" x14ac:dyDescent="0.3">
      <c r="A67" s="14"/>
      <c r="B67" s="18"/>
      <c r="C67" s="22"/>
      <c r="D67" s="23"/>
      <c r="E67" s="23"/>
      <c r="F67" s="23"/>
      <c r="G67" s="47" t="s">
        <v>193</v>
      </c>
      <c r="H67" s="48">
        <f>4000</f>
        <v>4000</v>
      </c>
    </row>
    <row r="68" spans="1:8" x14ac:dyDescent="0.3">
      <c r="A68" s="14"/>
      <c r="B68" s="18"/>
      <c r="C68" s="22"/>
      <c r="D68" s="23"/>
      <c r="E68" s="23"/>
      <c r="F68" s="23"/>
      <c r="G68" s="140" t="s">
        <v>161</v>
      </c>
      <c r="H68" s="141">
        <f>SUM(H62:H67)</f>
        <v>266800</v>
      </c>
    </row>
    <row r="69" spans="1:8" x14ac:dyDescent="0.3">
      <c r="A69" s="14"/>
      <c r="B69" s="18"/>
      <c r="C69" s="22" t="s">
        <v>15</v>
      </c>
      <c r="D69" s="23">
        <f>H85</f>
        <v>358200</v>
      </c>
      <c r="E69" s="23">
        <v>358200</v>
      </c>
      <c r="F69" s="23">
        <f>D69-E69</f>
        <v>0</v>
      </c>
      <c r="G69" s="133" t="s">
        <v>187</v>
      </c>
      <c r="H69" s="134"/>
    </row>
    <row r="70" spans="1:8" x14ac:dyDescent="0.3">
      <c r="A70" s="14"/>
      <c r="B70" s="18"/>
      <c r="C70" s="22"/>
      <c r="D70" s="23"/>
      <c r="E70" s="23"/>
      <c r="F70" s="23"/>
      <c r="G70" s="45" t="s">
        <v>194</v>
      </c>
      <c r="H70" s="46">
        <f>2000*2</f>
        <v>4000</v>
      </c>
    </row>
    <row r="71" spans="1:8" x14ac:dyDescent="0.3">
      <c r="A71" s="14"/>
      <c r="B71" s="18"/>
      <c r="C71" s="22"/>
      <c r="D71" s="23"/>
      <c r="E71" s="23"/>
      <c r="F71" s="23"/>
      <c r="G71" s="45" t="s">
        <v>195</v>
      </c>
      <c r="H71" s="46">
        <f>500*2</f>
        <v>1000</v>
      </c>
    </row>
    <row r="72" spans="1:8" x14ac:dyDescent="0.3">
      <c r="A72" s="14"/>
      <c r="B72" s="18"/>
      <c r="C72" s="22"/>
      <c r="D72" s="23"/>
      <c r="E72" s="23"/>
      <c r="F72" s="23"/>
      <c r="G72" s="45" t="s">
        <v>196</v>
      </c>
      <c r="H72" s="46">
        <f>100*12</f>
        <v>1200</v>
      </c>
    </row>
    <row r="73" spans="1:8" x14ac:dyDescent="0.3">
      <c r="A73" s="14"/>
      <c r="B73" s="18"/>
      <c r="C73" s="22"/>
      <c r="D73" s="23"/>
      <c r="E73" s="23"/>
      <c r="F73" s="23"/>
      <c r="G73" s="45" t="s">
        <v>197</v>
      </c>
      <c r="H73" s="46">
        <f>250*50</f>
        <v>12500</v>
      </c>
    </row>
    <row r="74" spans="1:8" x14ac:dyDescent="0.3">
      <c r="A74" s="14"/>
      <c r="B74" s="18"/>
      <c r="C74" s="22"/>
      <c r="D74" s="23"/>
      <c r="E74" s="23"/>
      <c r="F74" s="23"/>
      <c r="G74" s="45" t="s">
        <v>198</v>
      </c>
      <c r="H74" s="46">
        <v>2000</v>
      </c>
    </row>
    <row r="75" spans="1:8" x14ac:dyDescent="0.3">
      <c r="A75" s="14"/>
      <c r="B75" s="18"/>
      <c r="C75" s="22"/>
      <c r="D75" s="23"/>
      <c r="E75" s="23"/>
      <c r="F75" s="23"/>
      <c r="G75" s="45" t="s">
        <v>199</v>
      </c>
      <c r="H75" s="46">
        <f>1500*4</f>
        <v>6000</v>
      </c>
    </row>
    <row r="76" spans="1:8" x14ac:dyDescent="0.3">
      <c r="A76" s="14"/>
      <c r="B76" s="18"/>
      <c r="C76" s="22"/>
      <c r="D76" s="23"/>
      <c r="E76" s="23"/>
      <c r="F76" s="23"/>
      <c r="G76" s="45" t="s">
        <v>200</v>
      </c>
      <c r="H76" s="46">
        <f>10000</f>
        <v>10000</v>
      </c>
    </row>
    <row r="77" spans="1:8" x14ac:dyDescent="0.3">
      <c r="A77" s="14"/>
      <c r="B77" s="18"/>
      <c r="C77" s="22"/>
      <c r="D77" s="23"/>
      <c r="E77" s="23"/>
      <c r="F77" s="23"/>
      <c r="G77" s="45" t="s">
        <v>201</v>
      </c>
      <c r="H77" s="46">
        <f>1500*3</f>
        <v>4500</v>
      </c>
    </row>
    <row r="78" spans="1:8" x14ac:dyDescent="0.3">
      <c r="A78" s="14"/>
      <c r="B78" s="18"/>
      <c r="C78" s="22"/>
      <c r="D78" s="23"/>
      <c r="E78" s="23"/>
      <c r="F78" s="23"/>
      <c r="G78" s="45" t="s">
        <v>202</v>
      </c>
      <c r="H78" s="46">
        <f>15000*12</f>
        <v>180000</v>
      </c>
    </row>
    <row r="79" spans="1:8" x14ac:dyDescent="0.3">
      <c r="A79" s="14"/>
      <c r="B79" s="18"/>
      <c r="C79" s="22"/>
      <c r="D79" s="23"/>
      <c r="E79" s="23"/>
      <c r="F79" s="23"/>
      <c r="G79" s="45" t="s">
        <v>203</v>
      </c>
      <c r="H79" s="46">
        <f>1000*12</f>
        <v>12000</v>
      </c>
    </row>
    <row r="80" spans="1:8" x14ac:dyDescent="0.3">
      <c r="A80" s="14"/>
      <c r="B80" s="18"/>
      <c r="C80" s="22"/>
      <c r="D80" s="23"/>
      <c r="E80" s="23"/>
      <c r="F80" s="23"/>
      <c r="G80" s="45" t="s">
        <v>204</v>
      </c>
      <c r="H80" s="46">
        <f>7000*12</f>
        <v>84000</v>
      </c>
    </row>
    <row r="81" spans="1:8" x14ac:dyDescent="0.3">
      <c r="A81" s="14"/>
      <c r="B81" s="18"/>
      <c r="C81" s="22"/>
      <c r="D81" s="23"/>
      <c r="E81" s="23"/>
      <c r="F81" s="23"/>
      <c r="G81" s="45" t="s">
        <v>205</v>
      </c>
      <c r="H81" s="46">
        <f>500*4</f>
        <v>2000</v>
      </c>
    </row>
    <row r="82" spans="1:8" x14ac:dyDescent="0.3">
      <c r="A82" s="14"/>
      <c r="B82" s="18"/>
      <c r="C82" s="22"/>
      <c r="D82" s="23"/>
      <c r="E82" s="23"/>
      <c r="F82" s="23"/>
      <c r="G82" s="45" t="s">
        <v>206</v>
      </c>
      <c r="H82" s="46">
        <f>1500*2*4</f>
        <v>12000</v>
      </c>
    </row>
    <row r="83" spans="1:8" x14ac:dyDescent="0.3">
      <c r="A83" s="14"/>
      <c r="B83" s="18"/>
      <c r="C83" s="22"/>
      <c r="D83" s="23"/>
      <c r="E83" s="23"/>
      <c r="F83" s="23"/>
      <c r="G83" s="45" t="s">
        <v>207</v>
      </c>
      <c r="H83" s="46">
        <v>15000</v>
      </c>
    </row>
    <row r="84" spans="1:8" x14ac:dyDescent="0.3">
      <c r="A84" s="14"/>
      <c r="B84" s="18"/>
      <c r="C84" s="22"/>
      <c r="D84" s="23"/>
      <c r="E84" s="23"/>
      <c r="F84" s="23"/>
      <c r="G84" s="45" t="s">
        <v>208</v>
      </c>
      <c r="H84" s="46">
        <f>1000*12</f>
        <v>12000</v>
      </c>
    </row>
    <row r="85" spans="1:8" x14ac:dyDescent="0.3">
      <c r="A85" s="14"/>
      <c r="B85" s="18"/>
      <c r="C85" s="22"/>
      <c r="D85" s="23"/>
      <c r="E85" s="23"/>
      <c r="F85" s="23"/>
      <c r="G85" s="140" t="s">
        <v>161</v>
      </c>
      <c r="H85" s="141">
        <f>SUM(H70:H84)</f>
        <v>358200</v>
      </c>
    </row>
    <row r="86" spans="1:8" x14ac:dyDescent="0.3">
      <c r="A86" s="14"/>
      <c r="B86" s="18"/>
      <c r="C86" s="22" t="s">
        <v>16</v>
      </c>
      <c r="D86" s="23">
        <f>H90</f>
        <v>143200</v>
      </c>
      <c r="E86" s="23">
        <v>143200</v>
      </c>
      <c r="F86" s="23">
        <f>D86-E86</f>
        <v>0</v>
      </c>
      <c r="G86" s="133" t="s">
        <v>187</v>
      </c>
      <c r="H86" s="134"/>
    </row>
    <row r="87" spans="1:8" x14ac:dyDescent="0.3">
      <c r="A87" s="14"/>
      <c r="B87" s="18"/>
      <c r="C87" s="22"/>
      <c r="D87" s="23"/>
      <c r="E87" s="23"/>
      <c r="F87" s="23"/>
      <c r="G87" s="45" t="s">
        <v>209</v>
      </c>
      <c r="H87" s="46">
        <f>13000*2</f>
        <v>26000</v>
      </c>
    </row>
    <row r="88" spans="1:8" x14ac:dyDescent="0.3">
      <c r="A88" s="14"/>
      <c r="B88" s="18"/>
      <c r="C88" s="22"/>
      <c r="D88" s="23"/>
      <c r="E88" s="23"/>
      <c r="F88" s="23"/>
      <c r="G88" s="45" t="s">
        <v>210</v>
      </c>
      <c r="H88" s="46">
        <f>200*10</f>
        <v>2000</v>
      </c>
    </row>
    <row r="89" spans="1:8" x14ac:dyDescent="0.3">
      <c r="A89" s="14"/>
      <c r="B89" s="18"/>
      <c r="C89" s="22"/>
      <c r="D89" s="23"/>
      <c r="E89" s="23"/>
      <c r="F89" s="23"/>
      <c r="G89" s="47" t="s">
        <v>211</v>
      </c>
      <c r="H89" s="48">
        <f>1200*8*12</f>
        <v>115200</v>
      </c>
    </row>
    <row r="90" spans="1:8" x14ac:dyDescent="0.3">
      <c r="A90" s="14"/>
      <c r="B90" s="18"/>
      <c r="C90" s="22"/>
      <c r="D90" s="23"/>
      <c r="E90" s="23"/>
      <c r="F90" s="23"/>
      <c r="G90" s="140" t="s">
        <v>161</v>
      </c>
      <c r="H90" s="141">
        <f>SUM(H87:H89)</f>
        <v>143200</v>
      </c>
    </row>
    <row r="91" spans="1:8" x14ac:dyDescent="0.3">
      <c r="A91" s="14"/>
      <c r="B91" s="18"/>
      <c r="C91" s="22" t="s">
        <v>17</v>
      </c>
      <c r="D91" s="23">
        <f>H93</f>
        <v>192000</v>
      </c>
      <c r="E91" s="23">
        <v>192000</v>
      </c>
      <c r="F91" s="23">
        <f>D91-E91</f>
        <v>0</v>
      </c>
      <c r="G91" s="133" t="s">
        <v>187</v>
      </c>
      <c r="H91" s="134"/>
    </row>
    <row r="92" spans="1:8" x14ac:dyDescent="0.3">
      <c r="A92" s="14"/>
      <c r="B92" s="18"/>
      <c r="C92" s="22"/>
      <c r="D92" s="23"/>
      <c r="E92" s="23"/>
      <c r="F92" s="23"/>
      <c r="G92" s="47" t="s">
        <v>212</v>
      </c>
      <c r="H92" s="48">
        <f>16000*12</f>
        <v>192000</v>
      </c>
    </row>
    <row r="93" spans="1:8" x14ac:dyDescent="0.3">
      <c r="A93" s="14"/>
      <c r="B93" s="18"/>
      <c r="C93" s="22"/>
      <c r="D93" s="23"/>
      <c r="E93" s="23"/>
      <c r="F93" s="23"/>
      <c r="G93" s="140" t="s">
        <v>161</v>
      </c>
      <c r="H93" s="141">
        <f>H92</f>
        <v>192000</v>
      </c>
    </row>
    <row r="94" spans="1:8" x14ac:dyDescent="0.3">
      <c r="A94" s="14"/>
      <c r="B94" s="18"/>
      <c r="C94" s="22" t="s">
        <v>18</v>
      </c>
      <c r="D94" s="23">
        <f>H104</f>
        <v>621600</v>
      </c>
      <c r="E94" s="23">
        <v>621600</v>
      </c>
      <c r="F94" s="23">
        <f>D94-E94</f>
        <v>0</v>
      </c>
      <c r="G94" s="133" t="s">
        <v>187</v>
      </c>
      <c r="H94" s="134"/>
    </row>
    <row r="95" spans="1:8" x14ac:dyDescent="0.3">
      <c r="A95" s="14"/>
      <c r="B95" s="18"/>
      <c r="C95" s="22"/>
      <c r="D95" s="23"/>
      <c r="E95" s="23"/>
      <c r="F95" s="23"/>
      <c r="G95" s="45" t="s">
        <v>213</v>
      </c>
      <c r="H95" s="46">
        <f>3500*4</f>
        <v>14000</v>
      </c>
    </row>
    <row r="96" spans="1:8" x14ac:dyDescent="0.3">
      <c r="A96" s="14"/>
      <c r="B96" s="18"/>
      <c r="C96" s="22"/>
      <c r="D96" s="23"/>
      <c r="E96" s="23"/>
      <c r="F96" s="23"/>
      <c r="G96" s="45" t="s">
        <v>214</v>
      </c>
      <c r="H96" s="46">
        <f>1300*12</f>
        <v>15600</v>
      </c>
    </row>
    <row r="97" spans="1:8" x14ac:dyDescent="0.3">
      <c r="A97" s="14"/>
      <c r="B97" s="18"/>
      <c r="C97" s="22"/>
      <c r="D97" s="23"/>
      <c r="E97" s="23"/>
      <c r="F97" s="23"/>
      <c r="G97" s="45" t="s">
        <v>215</v>
      </c>
      <c r="H97" s="46">
        <f>500*12</f>
        <v>6000</v>
      </c>
    </row>
    <row r="98" spans="1:8" x14ac:dyDescent="0.3">
      <c r="A98" s="14"/>
      <c r="B98" s="18"/>
      <c r="C98" s="22"/>
      <c r="D98" s="23"/>
      <c r="E98" s="23"/>
      <c r="F98" s="23"/>
      <c r="G98" s="45" t="s">
        <v>216</v>
      </c>
      <c r="H98" s="46">
        <f>2000*12</f>
        <v>24000</v>
      </c>
    </row>
    <row r="99" spans="1:8" x14ac:dyDescent="0.3">
      <c r="A99" s="14"/>
      <c r="B99" s="18"/>
      <c r="C99" s="22"/>
      <c r="D99" s="23"/>
      <c r="E99" s="23"/>
      <c r="F99" s="23"/>
      <c r="G99" s="45" t="s">
        <v>217</v>
      </c>
      <c r="H99" s="46">
        <f>500*12</f>
        <v>6000</v>
      </c>
    </row>
    <row r="100" spans="1:8" x14ac:dyDescent="0.3">
      <c r="A100" s="14"/>
      <c r="B100" s="18"/>
      <c r="C100" s="22"/>
      <c r="D100" s="23"/>
      <c r="E100" s="23"/>
      <c r="F100" s="23"/>
      <c r="G100" s="45" t="s">
        <v>218</v>
      </c>
      <c r="H100" s="46">
        <f>1000*12</f>
        <v>12000</v>
      </c>
    </row>
    <row r="101" spans="1:8" x14ac:dyDescent="0.3">
      <c r="A101" s="14"/>
      <c r="B101" s="18"/>
      <c r="C101" s="22"/>
      <c r="D101" s="23"/>
      <c r="E101" s="23"/>
      <c r="F101" s="23"/>
      <c r="G101" s="45" t="s">
        <v>219</v>
      </c>
      <c r="H101" s="46">
        <f>1000*12</f>
        <v>12000</v>
      </c>
    </row>
    <row r="102" spans="1:8" x14ac:dyDescent="0.3">
      <c r="A102" s="14"/>
      <c r="B102" s="18"/>
      <c r="C102" s="22"/>
      <c r="D102" s="23"/>
      <c r="E102" s="23"/>
      <c r="F102" s="23"/>
      <c r="G102" s="45" t="s">
        <v>220</v>
      </c>
      <c r="H102" s="46">
        <f>11000*12</f>
        <v>132000</v>
      </c>
    </row>
    <row r="103" spans="1:8" x14ac:dyDescent="0.3">
      <c r="A103" s="14"/>
      <c r="B103" s="18"/>
      <c r="C103" s="22"/>
      <c r="D103" s="23"/>
      <c r="E103" s="23"/>
      <c r="F103" s="23"/>
      <c r="G103" s="47" t="s">
        <v>221</v>
      </c>
      <c r="H103" s="48">
        <f>200000*2</f>
        <v>400000</v>
      </c>
    </row>
    <row r="104" spans="1:8" x14ac:dyDescent="0.3">
      <c r="A104" s="14"/>
      <c r="B104" s="18"/>
      <c r="C104" s="22"/>
      <c r="D104" s="23"/>
      <c r="E104" s="23"/>
      <c r="F104" s="23"/>
      <c r="G104" s="140" t="s">
        <v>161</v>
      </c>
      <c r="H104" s="141">
        <f>SUM(H95:H103)</f>
        <v>621600</v>
      </c>
    </row>
    <row r="105" spans="1:8" x14ac:dyDescent="0.3">
      <c r="A105" s="14"/>
      <c r="B105" s="18"/>
      <c r="C105" s="22" t="s">
        <v>19</v>
      </c>
      <c r="D105" s="23">
        <f>H107</f>
        <v>26400</v>
      </c>
      <c r="E105" s="23">
        <v>26400</v>
      </c>
      <c r="F105" s="23">
        <f>D105-E105</f>
        <v>0</v>
      </c>
      <c r="G105" s="133" t="s">
        <v>187</v>
      </c>
      <c r="H105" s="134"/>
    </row>
    <row r="106" spans="1:8" x14ac:dyDescent="0.3">
      <c r="A106" s="14"/>
      <c r="B106" s="18"/>
      <c r="C106" s="22"/>
      <c r="D106" s="23"/>
      <c r="E106" s="23"/>
      <c r="F106" s="23"/>
      <c r="G106" s="47" t="s">
        <v>222</v>
      </c>
      <c r="H106" s="48">
        <f>550*4*12</f>
        <v>26400</v>
      </c>
    </row>
    <row r="107" spans="1:8" x14ac:dyDescent="0.3">
      <c r="A107" s="14"/>
      <c r="B107" s="18"/>
      <c r="C107" s="22"/>
      <c r="D107" s="23"/>
      <c r="E107" s="23"/>
      <c r="F107" s="23"/>
      <c r="G107" s="140" t="s">
        <v>161</v>
      </c>
      <c r="H107" s="141">
        <f>H106</f>
        <v>26400</v>
      </c>
    </row>
    <row r="108" spans="1:8" x14ac:dyDescent="0.3">
      <c r="A108" s="14"/>
      <c r="B108" s="18"/>
      <c r="C108" s="22" t="s">
        <v>20</v>
      </c>
      <c r="D108" s="23">
        <f>H117</f>
        <v>86500</v>
      </c>
      <c r="E108" s="23">
        <v>86500</v>
      </c>
      <c r="F108" s="23">
        <f>D108-E108</f>
        <v>0</v>
      </c>
      <c r="G108" s="133" t="s">
        <v>187</v>
      </c>
      <c r="H108" s="134"/>
    </row>
    <row r="109" spans="1:8" x14ac:dyDescent="0.3">
      <c r="A109" s="14"/>
      <c r="B109" s="18"/>
      <c r="C109" s="22"/>
      <c r="D109" s="23"/>
      <c r="E109" s="23"/>
      <c r="F109" s="23"/>
      <c r="G109" s="45" t="s">
        <v>436</v>
      </c>
      <c r="H109" s="46">
        <f>1000*3*5</f>
        <v>15000</v>
      </c>
    </row>
    <row r="110" spans="1:8" x14ac:dyDescent="0.3">
      <c r="A110" s="14"/>
      <c r="B110" s="18"/>
      <c r="C110" s="22"/>
      <c r="D110" s="23"/>
      <c r="E110" s="23"/>
      <c r="F110" s="23"/>
      <c r="G110" s="45" t="s">
        <v>223</v>
      </c>
      <c r="H110" s="46">
        <f>200*2*5*5</f>
        <v>10000</v>
      </c>
    </row>
    <row r="111" spans="1:8" x14ac:dyDescent="0.3">
      <c r="A111" s="14"/>
      <c r="B111" s="18"/>
      <c r="C111" s="22"/>
      <c r="D111" s="23"/>
      <c r="E111" s="23"/>
      <c r="F111" s="23"/>
      <c r="G111" s="45" t="s">
        <v>224</v>
      </c>
      <c r="H111" s="46">
        <f>10*2*5*5*3</f>
        <v>1500</v>
      </c>
    </row>
    <row r="112" spans="1:8" x14ac:dyDescent="0.3">
      <c r="A112" s="14"/>
      <c r="B112" s="18"/>
      <c r="C112" s="22"/>
      <c r="D112" s="23"/>
      <c r="E112" s="23"/>
      <c r="F112" s="23"/>
      <c r="G112" s="45" t="s">
        <v>225</v>
      </c>
      <c r="H112" s="46">
        <f>100*2*5*5</f>
        <v>5000</v>
      </c>
    </row>
    <row r="113" spans="1:8" x14ac:dyDescent="0.3">
      <c r="A113" s="14"/>
      <c r="B113" s="18"/>
      <c r="C113" s="22"/>
      <c r="D113" s="23"/>
      <c r="E113" s="23"/>
      <c r="F113" s="23"/>
      <c r="G113" s="45" t="s">
        <v>226</v>
      </c>
      <c r="H113" s="46">
        <f>1000*20</f>
        <v>20000</v>
      </c>
    </row>
    <row r="114" spans="1:8" x14ac:dyDescent="0.3">
      <c r="A114" s="14"/>
      <c r="B114" s="18"/>
      <c r="C114" s="22"/>
      <c r="D114" s="23"/>
      <c r="E114" s="23"/>
      <c r="F114" s="23"/>
      <c r="G114" s="45" t="s">
        <v>227</v>
      </c>
      <c r="H114" s="46">
        <f>1000*3*5</f>
        <v>15000</v>
      </c>
    </row>
    <row r="115" spans="1:8" x14ac:dyDescent="0.3">
      <c r="A115" s="14"/>
      <c r="B115" s="18"/>
      <c r="C115" s="22"/>
      <c r="D115" s="23"/>
      <c r="E115" s="23"/>
      <c r="F115" s="23"/>
      <c r="G115" s="45" t="s">
        <v>228</v>
      </c>
      <c r="H115" s="46">
        <f>30*10*5*10</f>
        <v>15000</v>
      </c>
    </row>
    <row r="116" spans="1:8" x14ac:dyDescent="0.3">
      <c r="A116" s="14"/>
      <c r="B116" s="18"/>
      <c r="C116" s="22"/>
      <c r="D116" s="23"/>
      <c r="E116" s="23"/>
      <c r="F116" s="23"/>
      <c r="G116" s="47" t="s">
        <v>229</v>
      </c>
      <c r="H116" s="48">
        <f>10*10*5*10</f>
        <v>5000</v>
      </c>
    </row>
    <row r="117" spans="1:8" x14ac:dyDescent="0.3">
      <c r="A117" s="14"/>
      <c r="B117" s="18"/>
      <c r="C117" s="22"/>
      <c r="D117" s="23"/>
      <c r="E117" s="23"/>
      <c r="F117" s="23"/>
      <c r="G117" s="140" t="s">
        <v>161</v>
      </c>
      <c r="H117" s="141">
        <f>SUM(H109:H116)</f>
        <v>86500</v>
      </c>
    </row>
    <row r="118" spans="1:8" x14ac:dyDescent="0.3">
      <c r="A118" s="14"/>
      <c r="B118" s="18"/>
      <c r="C118" s="22" t="s">
        <v>21</v>
      </c>
      <c r="D118" s="23">
        <f>H124</f>
        <v>98800</v>
      </c>
      <c r="E118" s="23">
        <v>98800</v>
      </c>
      <c r="F118" s="23">
        <f>D118-E118</f>
        <v>0</v>
      </c>
      <c r="G118" s="133" t="s">
        <v>187</v>
      </c>
      <c r="H118" s="134"/>
    </row>
    <row r="119" spans="1:8" x14ac:dyDescent="0.3">
      <c r="A119" s="14"/>
      <c r="B119" s="18"/>
      <c r="C119" s="22"/>
      <c r="D119" s="23"/>
      <c r="E119" s="23"/>
      <c r="F119" s="23"/>
      <c r="G119" s="45" t="s">
        <v>230</v>
      </c>
      <c r="H119" s="46">
        <f>200*10</f>
        <v>2000</v>
      </c>
    </row>
    <row r="120" spans="1:8" x14ac:dyDescent="0.3">
      <c r="A120" s="14"/>
      <c r="B120" s="18"/>
      <c r="C120" s="22"/>
      <c r="D120" s="23"/>
      <c r="E120" s="23"/>
      <c r="F120" s="23"/>
      <c r="G120" s="45" t="s">
        <v>231</v>
      </c>
      <c r="H120" s="46">
        <f>2000*12</f>
        <v>24000</v>
      </c>
    </row>
    <row r="121" spans="1:8" x14ac:dyDescent="0.3">
      <c r="A121" s="14"/>
      <c r="B121" s="18"/>
      <c r="C121" s="22"/>
      <c r="D121" s="23"/>
      <c r="E121" s="23"/>
      <c r="F121" s="23"/>
      <c r="G121" s="45" t="s">
        <v>232</v>
      </c>
      <c r="H121" s="46">
        <f>12000*2</f>
        <v>24000</v>
      </c>
    </row>
    <row r="122" spans="1:8" x14ac:dyDescent="0.3">
      <c r="A122" s="14"/>
      <c r="B122" s="18"/>
      <c r="C122" s="22"/>
      <c r="D122" s="23"/>
      <c r="E122" s="23"/>
      <c r="F122" s="23"/>
      <c r="G122" s="45" t="s">
        <v>233</v>
      </c>
      <c r="H122" s="46">
        <f>4000*12</f>
        <v>48000</v>
      </c>
    </row>
    <row r="123" spans="1:8" x14ac:dyDescent="0.3">
      <c r="A123" s="14"/>
      <c r="B123" s="18"/>
      <c r="C123" s="22"/>
      <c r="D123" s="23"/>
      <c r="E123" s="23"/>
      <c r="F123" s="23"/>
      <c r="G123" s="47" t="s">
        <v>234</v>
      </c>
      <c r="H123" s="48">
        <f>400*2</f>
        <v>800</v>
      </c>
    </row>
    <row r="124" spans="1:8" x14ac:dyDescent="0.3">
      <c r="A124" s="14"/>
      <c r="B124" s="18"/>
      <c r="C124" s="22"/>
      <c r="D124" s="23"/>
      <c r="E124" s="23"/>
      <c r="F124" s="23"/>
      <c r="G124" s="140" t="s">
        <v>161</v>
      </c>
      <c r="H124" s="141">
        <f>SUM(H119:H123)</f>
        <v>98800</v>
      </c>
    </row>
    <row r="125" spans="1:8" x14ac:dyDescent="0.3">
      <c r="A125" s="14"/>
      <c r="B125" s="18"/>
      <c r="C125" s="22" t="s">
        <v>22</v>
      </c>
      <c r="D125" s="23">
        <f>H134</f>
        <v>101150</v>
      </c>
      <c r="E125" s="23">
        <v>101150</v>
      </c>
      <c r="F125" s="23">
        <f>D125-E125</f>
        <v>0</v>
      </c>
      <c r="G125" s="133" t="s">
        <v>187</v>
      </c>
      <c r="H125" s="134"/>
    </row>
    <row r="126" spans="1:8" x14ac:dyDescent="0.3">
      <c r="A126" s="14"/>
      <c r="B126" s="18"/>
      <c r="C126" s="22"/>
      <c r="D126" s="23"/>
      <c r="E126" s="23"/>
      <c r="F126" s="23"/>
      <c r="G126" s="45" t="s">
        <v>235</v>
      </c>
      <c r="H126" s="46">
        <f>300*20</f>
        <v>6000</v>
      </c>
    </row>
    <row r="127" spans="1:8" x14ac:dyDescent="0.3">
      <c r="A127" s="14"/>
      <c r="B127" s="18"/>
      <c r="C127" s="22"/>
      <c r="D127" s="23"/>
      <c r="E127" s="23"/>
      <c r="F127" s="23"/>
      <c r="G127" s="45" t="s">
        <v>236</v>
      </c>
      <c r="H127" s="46">
        <f>50*80*2</f>
        <v>8000</v>
      </c>
    </row>
    <row r="128" spans="1:8" x14ac:dyDescent="0.3">
      <c r="A128" s="14"/>
      <c r="B128" s="18"/>
      <c r="C128" s="22"/>
      <c r="D128" s="23"/>
      <c r="E128" s="23"/>
      <c r="F128" s="23"/>
      <c r="G128" s="45" t="s">
        <v>237</v>
      </c>
      <c r="H128" s="46">
        <f>1000*3*2</f>
        <v>6000</v>
      </c>
    </row>
    <row r="129" spans="1:8" x14ac:dyDescent="0.3">
      <c r="A129" s="14"/>
      <c r="B129" s="18"/>
      <c r="C129" s="22"/>
      <c r="D129" s="23"/>
      <c r="E129" s="23"/>
      <c r="F129" s="23"/>
      <c r="G129" s="45" t="s">
        <v>238</v>
      </c>
      <c r="H129" s="46">
        <f>500*5*2</f>
        <v>5000</v>
      </c>
    </row>
    <row r="130" spans="1:8" x14ac:dyDescent="0.3">
      <c r="A130" s="14"/>
      <c r="B130" s="18"/>
      <c r="C130" s="22"/>
      <c r="D130" s="23"/>
      <c r="E130" s="23"/>
      <c r="F130" s="23"/>
      <c r="G130" s="45" t="s">
        <v>239</v>
      </c>
      <c r="H130" s="46">
        <f>500*5*2</f>
        <v>5000</v>
      </c>
    </row>
    <row r="131" spans="1:8" x14ac:dyDescent="0.3">
      <c r="A131" s="14"/>
      <c r="B131" s="18"/>
      <c r="C131" s="22"/>
      <c r="D131" s="23"/>
      <c r="E131" s="23"/>
      <c r="F131" s="23"/>
      <c r="G131" s="45" t="s">
        <v>240</v>
      </c>
      <c r="H131" s="46">
        <f>2*60*185</f>
        <v>22200</v>
      </c>
    </row>
    <row r="132" spans="1:8" x14ac:dyDescent="0.3">
      <c r="A132" s="14"/>
      <c r="B132" s="18"/>
      <c r="C132" s="22"/>
      <c r="D132" s="23"/>
      <c r="E132" s="23"/>
      <c r="F132" s="23"/>
      <c r="G132" s="45" t="s">
        <v>241</v>
      </c>
      <c r="H132" s="46">
        <f>7*10*185</f>
        <v>12950</v>
      </c>
    </row>
    <row r="133" spans="1:8" x14ac:dyDescent="0.3">
      <c r="A133" s="14"/>
      <c r="B133" s="18"/>
      <c r="C133" s="22"/>
      <c r="D133" s="23"/>
      <c r="E133" s="23"/>
      <c r="F133" s="23"/>
      <c r="G133" s="47" t="s">
        <v>23</v>
      </c>
      <c r="H133" s="48">
        <f>50*3*20*12</f>
        <v>36000</v>
      </c>
    </row>
    <row r="134" spans="1:8" x14ac:dyDescent="0.3">
      <c r="A134" s="14"/>
      <c r="B134" s="18"/>
      <c r="C134" s="22"/>
      <c r="D134" s="23"/>
      <c r="E134" s="23"/>
      <c r="F134" s="23"/>
      <c r="G134" s="140" t="s">
        <v>161</v>
      </c>
      <c r="H134" s="141">
        <f>SUM(H126:H133)</f>
        <v>101150</v>
      </c>
    </row>
    <row r="135" spans="1:8" x14ac:dyDescent="0.3">
      <c r="A135" s="14"/>
      <c r="B135" s="18"/>
      <c r="C135" s="22" t="s">
        <v>24</v>
      </c>
      <c r="D135" s="23">
        <f>H154</f>
        <v>163778</v>
      </c>
      <c r="E135" s="23">
        <v>123778</v>
      </c>
      <c r="F135" s="23">
        <f>D135-E135</f>
        <v>40000</v>
      </c>
      <c r="G135" s="133" t="s">
        <v>187</v>
      </c>
      <c r="H135" s="134"/>
    </row>
    <row r="136" spans="1:8" ht="24" x14ac:dyDescent="0.3">
      <c r="A136" s="14"/>
      <c r="B136" s="18"/>
      <c r="C136" s="22"/>
      <c r="D136" s="23"/>
      <c r="E136" s="23"/>
      <c r="F136" s="23"/>
      <c r="G136" s="174" t="s">
        <v>459</v>
      </c>
      <c r="H136" s="175">
        <v>40000</v>
      </c>
    </row>
    <row r="137" spans="1:8" x14ac:dyDescent="0.3">
      <c r="A137" s="14"/>
      <c r="B137" s="18"/>
      <c r="C137" s="22"/>
      <c r="D137" s="23"/>
      <c r="E137" s="23"/>
      <c r="F137" s="23"/>
      <c r="G137" s="45" t="s">
        <v>242</v>
      </c>
      <c r="H137" s="46">
        <f>1000*2</f>
        <v>2000</v>
      </c>
    </row>
    <row r="138" spans="1:8" x14ac:dyDescent="0.3">
      <c r="A138" s="14"/>
      <c r="B138" s="18"/>
      <c r="C138" s="22"/>
      <c r="D138" s="23"/>
      <c r="E138" s="23"/>
      <c r="F138" s="23"/>
      <c r="G138" s="45" t="s">
        <v>243</v>
      </c>
      <c r="H138" s="46">
        <f>700*12</f>
        <v>8400</v>
      </c>
    </row>
    <row r="139" spans="1:8" x14ac:dyDescent="0.3">
      <c r="A139" s="14"/>
      <c r="B139" s="18"/>
      <c r="C139" s="22"/>
      <c r="D139" s="23"/>
      <c r="E139" s="23"/>
      <c r="F139" s="23"/>
      <c r="G139" s="45" t="s">
        <v>244</v>
      </c>
      <c r="H139" s="46">
        <f>34*600</f>
        <v>20400</v>
      </c>
    </row>
    <row r="140" spans="1:8" x14ac:dyDescent="0.3">
      <c r="A140" s="14"/>
      <c r="B140" s="18"/>
      <c r="C140" s="22"/>
      <c r="D140" s="23"/>
      <c r="E140" s="23"/>
      <c r="F140" s="23"/>
      <c r="G140" s="45" t="s">
        <v>245</v>
      </c>
      <c r="H140" s="46">
        <f>10*600</f>
        <v>6000</v>
      </c>
    </row>
    <row r="141" spans="1:8" x14ac:dyDescent="0.3">
      <c r="A141" s="14"/>
      <c r="B141" s="18"/>
      <c r="C141" s="22"/>
      <c r="D141" s="23"/>
      <c r="E141" s="23"/>
      <c r="F141" s="23"/>
      <c r="G141" s="45" t="s">
        <v>246</v>
      </c>
      <c r="H141" s="46">
        <f>13*600</f>
        <v>7800</v>
      </c>
    </row>
    <row r="142" spans="1:8" x14ac:dyDescent="0.3">
      <c r="A142" s="14"/>
      <c r="B142" s="18"/>
      <c r="C142" s="22"/>
      <c r="D142" s="23"/>
      <c r="E142" s="23"/>
      <c r="F142" s="23"/>
      <c r="G142" s="45" t="s">
        <v>247</v>
      </c>
      <c r="H142" s="46">
        <f>20*1000</f>
        <v>20000</v>
      </c>
    </row>
    <row r="143" spans="1:8" x14ac:dyDescent="0.3">
      <c r="A143" s="14"/>
      <c r="B143" s="18"/>
      <c r="C143" s="22"/>
      <c r="D143" s="23"/>
      <c r="E143" s="23"/>
      <c r="F143" s="23"/>
      <c r="G143" s="45" t="s">
        <v>248</v>
      </c>
      <c r="H143" s="46">
        <f>13*600</f>
        <v>7800</v>
      </c>
    </row>
    <row r="144" spans="1:8" x14ac:dyDescent="0.3">
      <c r="A144" s="14"/>
      <c r="B144" s="18"/>
      <c r="C144" s="22"/>
      <c r="D144" s="23"/>
      <c r="E144" s="23"/>
      <c r="F144" s="23"/>
      <c r="G144" s="45" t="s">
        <v>249</v>
      </c>
      <c r="H144" s="46">
        <f>110*2*12</f>
        <v>2640</v>
      </c>
    </row>
    <row r="145" spans="1:8" x14ac:dyDescent="0.3">
      <c r="A145" s="14"/>
      <c r="B145" s="18"/>
      <c r="C145" s="22"/>
      <c r="D145" s="23"/>
      <c r="E145" s="23"/>
      <c r="F145" s="23"/>
      <c r="G145" s="49" t="s">
        <v>250</v>
      </c>
      <c r="H145" s="50">
        <f>7*2*185</f>
        <v>2590</v>
      </c>
    </row>
    <row r="146" spans="1:8" x14ac:dyDescent="0.3">
      <c r="A146" s="14"/>
      <c r="B146" s="18"/>
      <c r="C146" s="22"/>
      <c r="D146" s="23"/>
      <c r="E146" s="23"/>
      <c r="F146" s="23"/>
      <c r="G146" s="45" t="s">
        <v>251</v>
      </c>
      <c r="H146" s="46">
        <v>2000</v>
      </c>
    </row>
    <row r="147" spans="1:8" x14ac:dyDescent="0.3">
      <c r="A147" s="14"/>
      <c r="B147" s="18"/>
      <c r="C147" s="22"/>
      <c r="D147" s="23"/>
      <c r="E147" s="23"/>
      <c r="F147" s="23"/>
      <c r="G147" s="45" t="s">
        <v>25</v>
      </c>
      <c r="H147" s="46">
        <v>3000</v>
      </c>
    </row>
    <row r="148" spans="1:8" x14ac:dyDescent="0.3">
      <c r="A148" s="14"/>
      <c r="B148" s="18"/>
      <c r="C148" s="22"/>
      <c r="D148" s="23"/>
      <c r="E148" s="23"/>
      <c r="F148" s="23"/>
      <c r="G148" s="45" t="s">
        <v>252</v>
      </c>
      <c r="H148" s="46">
        <f>30*30*5*2</f>
        <v>9000</v>
      </c>
    </row>
    <row r="149" spans="1:8" x14ac:dyDescent="0.3">
      <c r="A149" s="14"/>
      <c r="B149" s="18"/>
      <c r="C149" s="22"/>
      <c r="D149" s="23"/>
      <c r="E149" s="23"/>
      <c r="F149" s="23"/>
      <c r="G149" s="45" t="s">
        <v>253</v>
      </c>
      <c r="H149" s="46">
        <f>500*20</f>
        <v>10000</v>
      </c>
    </row>
    <row r="150" spans="1:8" x14ac:dyDescent="0.3">
      <c r="A150" s="14"/>
      <c r="B150" s="18"/>
      <c r="C150" s="22"/>
      <c r="D150" s="23"/>
      <c r="E150" s="23"/>
      <c r="F150" s="23"/>
      <c r="G150" s="45" t="s">
        <v>254</v>
      </c>
      <c r="H150" s="46">
        <f>500*20</f>
        <v>10000</v>
      </c>
    </row>
    <row r="151" spans="1:8" x14ac:dyDescent="0.3">
      <c r="A151" s="14"/>
      <c r="B151" s="18"/>
      <c r="C151" s="22"/>
      <c r="D151" s="23"/>
      <c r="E151" s="23"/>
      <c r="F151" s="23"/>
      <c r="G151" s="45" t="s">
        <v>26</v>
      </c>
      <c r="H151" s="46">
        <f>800*12</f>
        <v>9600</v>
      </c>
    </row>
    <row r="152" spans="1:8" x14ac:dyDescent="0.3">
      <c r="A152" s="14"/>
      <c r="B152" s="18"/>
      <c r="C152" s="22"/>
      <c r="D152" s="23"/>
      <c r="E152" s="23"/>
      <c r="F152" s="23"/>
      <c r="G152" s="142" t="s">
        <v>255</v>
      </c>
      <c r="H152" s="46"/>
    </row>
    <row r="153" spans="1:8" x14ac:dyDescent="0.3">
      <c r="A153" s="14"/>
      <c r="B153" s="18"/>
      <c r="C153" s="22"/>
      <c r="D153" s="23"/>
      <c r="E153" s="23"/>
      <c r="F153" s="23"/>
      <c r="G153" s="164" t="s">
        <v>256</v>
      </c>
      <c r="H153" s="165">
        <f>7*2*182</f>
        <v>2548</v>
      </c>
    </row>
    <row r="154" spans="1:8" x14ac:dyDescent="0.3">
      <c r="A154" s="14"/>
      <c r="B154" s="18"/>
      <c r="C154" s="25"/>
      <c r="D154" s="26"/>
      <c r="E154" s="26"/>
      <c r="F154" s="26"/>
      <c r="G154" s="140" t="s">
        <v>161</v>
      </c>
      <c r="H154" s="141">
        <f>SUM(H135:H153)</f>
        <v>163778</v>
      </c>
    </row>
    <row r="155" spans="1:8" x14ac:dyDescent="0.3">
      <c r="A155" s="14"/>
      <c r="B155" s="27" t="s">
        <v>27</v>
      </c>
      <c r="C155" s="28"/>
      <c r="D155" s="29">
        <f>SUM(D156)</f>
        <v>630887</v>
      </c>
      <c r="E155" s="29">
        <f>SUM(E156)</f>
        <v>598947</v>
      </c>
      <c r="F155" s="29">
        <f>D155-E155</f>
        <v>31940</v>
      </c>
      <c r="G155" s="138"/>
      <c r="H155" s="139"/>
    </row>
    <row r="156" spans="1:8" x14ac:dyDescent="0.3">
      <c r="A156" s="14"/>
      <c r="B156" s="18"/>
      <c r="C156" s="19" t="s">
        <v>27</v>
      </c>
      <c r="D156" s="20">
        <f>H171+H216+H228+H263+H274+H292</f>
        <v>630887</v>
      </c>
      <c r="E156" s="20">
        <v>598947</v>
      </c>
      <c r="F156" s="20">
        <f>D156-E156</f>
        <v>31940</v>
      </c>
      <c r="G156" s="133" t="s">
        <v>257</v>
      </c>
      <c r="H156" s="134"/>
    </row>
    <row r="157" spans="1:8" x14ac:dyDescent="0.3">
      <c r="A157" s="14"/>
      <c r="B157" s="18"/>
      <c r="C157" s="22"/>
      <c r="D157" s="23"/>
      <c r="E157" s="23"/>
      <c r="F157" s="23"/>
      <c r="G157" s="142" t="s">
        <v>258</v>
      </c>
      <c r="H157" s="46"/>
    </row>
    <row r="158" spans="1:8" x14ac:dyDescent="0.3">
      <c r="A158" s="14"/>
      <c r="B158" s="18"/>
      <c r="C158" s="22"/>
      <c r="D158" s="23"/>
      <c r="E158" s="23"/>
      <c r="F158" s="23"/>
      <c r="G158" s="45" t="s">
        <v>259</v>
      </c>
      <c r="H158" s="46">
        <f>5*65</f>
        <v>325</v>
      </c>
    </row>
    <row r="159" spans="1:8" x14ac:dyDescent="0.3">
      <c r="A159" s="14"/>
      <c r="B159" s="18"/>
      <c r="C159" s="22"/>
      <c r="D159" s="23"/>
      <c r="E159" s="23"/>
      <c r="F159" s="23"/>
      <c r="G159" s="45" t="s">
        <v>260</v>
      </c>
      <c r="H159" s="46">
        <f>25*30</f>
        <v>750</v>
      </c>
    </row>
    <row r="160" spans="1:8" x14ac:dyDescent="0.3">
      <c r="A160" s="14"/>
      <c r="B160" s="18"/>
      <c r="C160" s="22"/>
      <c r="D160" s="23"/>
      <c r="E160" s="23"/>
      <c r="F160" s="23"/>
      <c r="G160" s="142" t="s">
        <v>255</v>
      </c>
      <c r="H160" s="46"/>
    </row>
    <row r="161" spans="1:8" x14ac:dyDescent="0.3">
      <c r="A161" s="14"/>
      <c r="B161" s="18"/>
      <c r="C161" s="22"/>
      <c r="D161" s="23"/>
      <c r="E161" s="23"/>
      <c r="F161" s="23"/>
      <c r="G161" s="49" t="s">
        <v>261</v>
      </c>
      <c r="H161" s="50">
        <f>500*1</f>
        <v>500</v>
      </c>
    </row>
    <row r="162" spans="1:8" x14ac:dyDescent="0.3">
      <c r="A162" s="14"/>
      <c r="B162" s="18"/>
      <c r="C162" s="22"/>
      <c r="D162" s="23"/>
      <c r="E162" s="23"/>
      <c r="F162" s="23"/>
      <c r="G162" s="49" t="s">
        <v>262</v>
      </c>
      <c r="H162" s="50">
        <f>1000*1</f>
        <v>1000</v>
      </c>
    </row>
    <row r="163" spans="1:8" x14ac:dyDescent="0.3">
      <c r="A163" s="14"/>
      <c r="B163" s="18"/>
      <c r="C163" s="22"/>
      <c r="D163" s="23"/>
      <c r="E163" s="23"/>
      <c r="F163" s="23"/>
      <c r="G163" s="49" t="s">
        <v>263</v>
      </c>
      <c r="H163" s="50">
        <f>10*60</f>
        <v>600</v>
      </c>
    </row>
    <row r="164" spans="1:8" x14ac:dyDescent="0.3">
      <c r="A164" s="14"/>
      <c r="B164" s="18"/>
      <c r="C164" s="22"/>
      <c r="D164" s="23"/>
      <c r="E164" s="23"/>
      <c r="F164" s="23"/>
      <c r="G164" s="49" t="s">
        <v>264</v>
      </c>
      <c r="H164" s="50">
        <f>10*60</f>
        <v>600</v>
      </c>
    </row>
    <row r="165" spans="1:8" x14ac:dyDescent="0.3">
      <c r="A165" s="14"/>
      <c r="B165" s="18"/>
      <c r="C165" s="22"/>
      <c r="D165" s="23"/>
      <c r="E165" s="23"/>
      <c r="F165" s="23"/>
      <c r="G165" s="142" t="s">
        <v>265</v>
      </c>
      <c r="H165" s="46"/>
    </row>
    <row r="166" spans="1:8" x14ac:dyDescent="0.3">
      <c r="A166" s="14"/>
      <c r="B166" s="18"/>
      <c r="C166" s="22"/>
      <c r="D166" s="23"/>
      <c r="E166" s="23"/>
      <c r="F166" s="23"/>
      <c r="G166" s="45" t="s">
        <v>261</v>
      </c>
      <c r="H166" s="46">
        <f>500*1</f>
        <v>500</v>
      </c>
    </row>
    <row r="167" spans="1:8" x14ac:dyDescent="0.3">
      <c r="A167" s="14"/>
      <c r="B167" s="18"/>
      <c r="C167" s="22"/>
      <c r="D167" s="23"/>
      <c r="E167" s="23"/>
      <c r="F167" s="23"/>
      <c r="G167" s="45" t="s">
        <v>262</v>
      </c>
      <c r="H167" s="46">
        <f>1000*1</f>
        <v>1000</v>
      </c>
    </row>
    <row r="168" spans="1:8" x14ac:dyDescent="0.3">
      <c r="A168" s="14"/>
      <c r="B168" s="18"/>
      <c r="C168" s="22"/>
      <c r="D168" s="23"/>
      <c r="E168" s="23"/>
      <c r="F168" s="23"/>
      <c r="G168" s="45" t="s">
        <v>266</v>
      </c>
      <c r="H168" s="46">
        <f>5*100</f>
        <v>500</v>
      </c>
    </row>
    <row r="169" spans="1:8" x14ac:dyDescent="0.3">
      <c r="A169" s="14"/>
      <c r="B169" s="18"/>
      <c r="C169" s="22"/>
      <c r="D169" s="23"/>
      <c r="E169" s="23"/>
      <c r="F169" s="23"/>
      <c r="G169" s="45" t="s">
        <v>267</v>
      </c>
      <c r="H169" s="46">
        <f>5*100</f>
        <v>500</v>
      </c>
    </row>
    <row r="170" spans="1:8" x14ac:dyDescent="0.3">
      <c r="A170" s="14"/>
      <c r="B170" s="18"/>
      <c r="C170" s="22"/>
      <c r="D170" s="23"/>
      <c r="E170" s="23"/>
      <c r="F170" s="23"/>
      <c r="G170" s="47" t="s">
        <v>268</v>
      </c>
      <c r="H170" s="48">
        <f>400*10</f>
        <v>4000</v>
      </c>
    </row>
    <row r="171" spans="1:8" x14ac:dyDescent="0.3">
      <c r="A171" s="14"/>
      <c r="B171" s="18"/>
      <c r="C171" s="22"/>
      <c r="D171" s="23"/>
      <c r="E171" s="23"/>
      <c r="F171" s="23"/>
      <c r="G171" s="140" t="s">
        <v>161</v>
      </c>
      <c r="H171" s="141">
        <f>SUM(H156:H170)</f>
        <v>10275</v>
      </c>
    </row>
    <row r="172" spans="1:8" x14ac:dyDescent="0.3">
      <c r="A172" s="14"/>
      <c r="B172" s="18"/>
      <c r="C172" s="22"/>
      <c r="D172" s="23"/>
      <c r="E172" s="23"/>
      <c r="F172" s="23"/>
      <c r="G172" s="133" t="s">
        <v>269</v>
      </c>
      <c r="H172" s="134"/>
    </row>
    <row r="173" spans="1:8" x14ac:dyDescent="0.3">
      <c r="A173" s="14"/>
      <c r="B173" s="18"/>
      <c r="C173" s="22"/>
      <c r="D173" s="23"/>
      <c r="E173" s="23"/>
      <c r="F173" s="23"/>
      <c r="G173" s="142" t="s">
        <v>258</v>
      </c>
      <c r="H173" s="46"/>
    </row>
    <row r="174" spans="1:8" x14ac:dyDescent="0.3">
      <c r="A174" s="14"/>
      <c r="B174" s="18"/>
      <c r="C174" s="22"/>
      <c r="D174" s="23"/>
      <c r="E174" s="23"/>
      <c r="F174" s="23"/>
      <c r="G174" s="45" t="s">
        <v>270</v>
      </c>
      <c r="H174" s="46">
        <f>20*65*1</f>
        <v>1300</v>
      </c>
    </row>
    <row r="175" spans="1:8" x14ac:dyDescent="0.3">
      <c r="A175" s="14"/>
      <c r="B175" s="18"/>
      <c r="C175" s="22"/>
      <c r="D175" s="23"/>
      <c r="E175" s="23"/>
      <c r="F175" s="23"/>
      <c r="G175" s="45" t="s">
        <v>271</v>
      </c>
      <c r="H175" s="46">
        <f>20*65*1</f>
        <v>1300</v>
      </c>
    </row>
    <row r="176" spans="1:8" x14ac:dyDescent="0.3">
      <c r="A176" s="14"/>
      <c r="B176" s="18"/>
      <c r="C176" s="22"/>
      <c r="D176" s="23"/>
      <c r="E176" s="23"/>
      <c r="F176" s="23"/>
      <c r="G176" s="45" t="s">
        <v>272</v>
      </c>
      <c r="H176" s="46">
        <f>10*65</f>
        <v>650</v>
      </c>
    </row>
    <row r="177" spans="1:8" x14ac:dyDescent="0.3">
      <c r="A177" s="14"/>
      <c r="B177" s="18"/>
      <c r="C177" s="22"/>
      <c r="D177" s="23"/>
      <c r="E177" s="23"/>
      <c r="F177" s="23"/>
      <c r="G177" s="45" t="s">
        <v>273</v>
      </c>
      <c r="H177" s="46">
        <f>20*65*6</f>
        <v>7800</v>
      </c>
    </row>
    <row r="178" spans="1:8" x14ac:dyDescent="0.3">
      <c r="A178" s="14"/>
      <c r="B178" s="18"/>
      <c r="C178" s="22"/>
      <c r="D178" s="23"/>
      <c r="E178" s="23"/>
      <c r="F178" s="23"/>
      <c r="G178" s="45" t="s">
        <v>274</v>
      </c>
      <c r="H178" s="46">
        <f>20*65*2</f>
        <v>2600</v>
      </c>
    </row>
    <row r="179" spans="1:8" x14ac:dyDescent="0.3">
      <c r="A179" s="14"/>
      <c r="B179" s="18"/>
      <c r="C179" s="22"/>
      <c r="D179" s="23"/>
      <c r="E179" s="23"/>
      <c r="F179" s="23"/>
      <c r="G179" s="45" t="s">
        <v>275</v>
      </c>
      <c r="H179" s="46">
        <f>10*100</f>
        <v>1000</v>
      </c>
    </row>
    <row r="180" spans="1:8" x14ac:dyDescent="0.3">
      <c r="A180" s="14"/>
      <c r="B180" s="18"/>
      <c r="C180" s="22"/>
      <c r="D180" s="23"/>
      <c r="E180" s="23"/>
      <c r="F180" s="23"/>
      <c r="G180" s="45" t="s">
        <v>276</v>
      </c>
      <c r="H180" s="46">
        <v>1000</v>
      </c>
    </row>
    <row r="181" spans="1:8" x14ac:dyDescent="0.3">
      <c r="A181" s="14"/>
      <c r="B181" s="18"/>
      <c r="C181" s="22"/>
      <c r="D181" s="23"/>
      <c r="E181" s="23"/>
      <c r="F181" s="23"/>
      <c r="G181" s="45" t="s">
        <v>277</v>
      </c>
      <c r="H181" s="46">
        <f>10*65</f>
        <v>650</v>
      </c>
    </row>
    <row r="182" spans="1:8" x14ac:dyDescent="0.3">
      <c r="A182" s="14"/>
      <c r="B182" s="18"/>
      <c r="C182" s="22"/>
      <c r="D182" s="23"/>
      <c r="E182" s="23"/>
      <c r="F182" s="23"/>
      <c r="G182" s="45" t="s">
        <v>278</v>
      </c>
      <c r="H182" s="46">
        <f>20*65</f>
        <v>1300</v>
      </c>
    </row>
    <row r="183" spans="1:8" x14ac:dyDescent="0.3">
      <c r="A183" s="14"/>
      <c r="B183" s="18"/>
      <c r="C183" s="22"/>
      <c r="D183" s="23"/>
      <c r="E183" s="23"/>
      <c r="F183" s="23"/>
      <c r="G183" s="45" t="s">
        <v>279</v>
      </c>
      <c r="H183" s="46">
        <f>50*65</f>
        <v>3250</v>
      </c>
    </row>
    <row r="184" spans="1:8" x14ac:dyDescent="0.3">
      <c r="A184" s="14"/>
      <c r="B184" s="18"/>
      <c r="C184" s="22"/>
      <c r="D184" s="23"/>
      <c r="E184" s="23"/>
      <c r="F184" s="23"/>
      <c r="G184" s="142" t="s">
        <v>255</v>
      </c>
      <c r="H184" s="46"/>
    </row>
    <row r="185" spans="1:8" x14ac:dyDescent="0.3">
      <c r="A185" s="14"/>
      <c r="B185" s="18"/>
      <c r="C185" s="22"/>
      <c r="D185" s="23"/>
      <c r="E185" s="23"/>
      <c r="F185" s="23"/>
      <c r="G185" s="49" t="s">
        <v>280</v>
      </c>
      <c r="H185" s="50">
        <f>400*22</f>
        <v>8800</v>
      </c>
    </row>
    <row r="186" spans="1:8" x14ac:dyDescent="0.3">
      <c r="A186" s="14"/>
      <c r="B186" s="18"/>
      <c r="C186" s="22"/>
      <c r="D186" s="23"/>
      <c r="E186" s="23"/>
      <c r="F186" s="23"/>
      <c r="G186" s="49" t="s">
        <v>281</v>
      </c>
      <c r="H186" s="50">
        <f>10*254</f>
        <v>2540</v>
      </c>
    </row>
    <row r="187" spans="1:8" ht="24" x14ac:dyDescent="0.3">
      <c r="A187" s="14"/>
      <c r="B187" s="18"/>
      <c r="C187" s="22"/>
      <c r="D187" s="23"/>
      <c r="E187" s="23"/>
      <c r="F187" s="23"/>
      <c r="G187" s="49" t="s">
        <v>282</v>
      </c>
      <c r="H187" s="50">
        <f>40*200*2</f>
        <v>16000</v>
      </c>
    </row>
    <row r="188" spans="1:8" x14ac:dyDescent="0.3">
      <c r="A188" s="14"/>
      <c r="B188" s="18"/>
      <c r="C188" s="22"/>
      <c r="D188" s="23"/>
      <c r="E188" s="23"/>
      <c r="F188" s="23"/>
      <c r="G188" s="49" t="s">
        <v>283</v>
      </c>
      <c r="H188" s="50">
        <f>70*250</f>
        <v>17500</v>
      </c>
    </row>
    <row r="189" spans="1:8" x14ac:dyDescent="0.3">
      <c r="A189" s="14"/>
      <c r="B189" s="18"/>
      <c r="C189" s="22"/>
      <c r="D189" s="23"/>
      <c r="E189" s="23"/>
      <c r="F189" s="23"/>
      <c r="G189" s="49" t="s">
        <v>284</v>
      </c>
      <c r="H189" s="50">
        <f>15*250</f>
        <v>3750</v>
      </c>
    </row>
    <row r="190" spans="1:8" x14ac:dyDescent="0.3">
      <c r="A190" s="14"/>
      <c r="B190" s="18"/>
      <c r="C190" s="22"/>
      <c r="D190" s="23"/>
      <c r="E190" s="23"/>
      <c r="F190" s="23"/>
      <c r="G190" s="49" t="s">
        <v>285</v>
      </c>
      <c r="H190" s="50">
        <f>30*250</f>
        <v>7500</v>
      </c>
    </row>
    <row r="191" spans="1:8" x14ac:dyDescent="0.3">
      <c r="A191" s="14"/>
      <c r="B191" s="18"/>
      <c r="C191" s="22"/>
      <c r="D191" s="23"/>
      <c r="E191" s="23"/>
      <c r="F191" s="23"/>
      <c r="G191" s="49" t="s">
        <v>286</v>
      </c>
      <c r="H191" s="50">
        <f>165*12*2</f>
        <v>3960</v>
      </c>
    </row>
    <row r="192" spans="1:8" x14ac:dyDescent="0.3">
      <c r="A192" s="14"/>
      <c r="B192" s="18"/>
      <c r="C192" s="22"/>
      <c r="D192" s="23"/>
      <c r="E192" s="23"/>
      <c r="F192" s="23"/>
      <c r="G192" s="49" t="s">
        <v>287</v>
      </c>
      <c r="H192" s="50">
        <f>15000</f>
        <v>15000</v>
      </c>
    </row>
    <row r="193" spans="1:8" x14ac:dyDescent="0.3">
      <c r="A193" s="14"/>
      <c r="B193" s="18"/>
      <c r="C193" s="22"/>
      <c r="D193" s="23"/>
      <c r="E193" s="23"/>
      <c r="F193" s="23"/>
      <c r="G193" s="49" t="s">
        <v>288</v>
      </c>
      <c r="H193" s="50">
        <v>1000</v>
      </c>
    </row>
    <row r="194" spans="1:8" x14ac:dyDescent="0.3">
      <c r="A194" s="14"/>
      <c r="B194" s="18"/>
      <c r="C194" s="22"/>
      <c r="D194" s="23"/>
      <c r="E194" s="23"/>
      <c r="F194" s="23"/>
      <c r="G194" s="45" t="s">
        <v>427</v>
      </c>
      <c r="H194" s="46">
        <f>1000*3</f>
        <v>3000</v>
      </c>
    </row>
    <row r="195" spans="1:8" x14ac:dyDescent="0.3">
      <c r="A195" s="14"/>
      <c r="B195" s="18"/>
      <c r="C195" s="22"/>
      <c r="D195" s="23"/>
      <c r="E195" s="23"/>
      <c r="F195" s="23"/>
      <c r="G195" s="142" t="s">
        <v>265</v>
      </c>
      <c r="H195" s="46"/>
    </row>
    <row r="196" spans="1:8" x14ac:dyDescent="0.3">
      <c r="A196" s="14"/>
      <c r="B196" s="18"/>
      <c r="C196" s="22"/>
      <c r="D196" s="23"/>
      <c r="E196" s="23"/>
      <c r="F196" s="23"/>
      <c r="G196" s="45" t="s">
        <v>289</v>
      </c>
      <c r="H196" s="46">
        <f>10*105</f>
        <v>1050</v>
      </c>
    </row>
    <row r="197" spans="1:8" x14ac:dyDescent="0.3">
      <c r="A197" s="14"/>
      <c r="B197" s="18"/>
      <c r="C197" s="22"/>
      <c r="D197" s="23"/>
      <c r="E197" s="23"/>
      <c r="F197" s="23"/>
      <c r="G197" s="45" t="s">
        <v>290</v>
      </c>
      <c r="H197" s="46">
        <f>20*160</f>
        <v>3200</v>
      </c>
    </row>
    <row r="198" spans="1:8" x14ac:dyDescent="0.3">
      <c r="A198" s="14"/>
      <c r="B198" s="18"/>
      <c r="C198" s="22"/>
      <c r="D198" s="23"/>
      <c r="E198" s="23"/>
      <c r="F198" s="23"/>
      <c r="G198" s="45" t="s">
        <v>291</v>
      </c>
      <c r="H198" s="46">
        <f>500</f>
        <v>500</v>
      </c>
    </row>
    <row r="199" spans="1:8" x14ac:dyDescent="0.3">
      <c r="A199" s="14"/>
      <c r="B199" s="18"/>
      <c r="C199" s="22"/>
      <c r="D199" s="23"/>
      <c r="E199" s="23"/>
      <c r="F199" s="23"/>
      <c r="G199" s="45" t="s">
        <v>292</v>
      </c>
      <c r="H199" s="46">
        <f>2000</f>
        <v>2000</v>
      </c>
    </row>
    <row r="200" spans="1:8" x14ac:dyDescent="0.3">
      <c r="A200" s="14"/>
      <c r="B200" s="18"/>
      <c r="C200" s="22"/>
      <c r="D200" s="23"/>
      <c r="E200" s="23"/>
      <c r="F200" s="23"/>
      <c r="G200" s="45" t="s">
        <v>293</v>
      </c>
      <c r="H200" s="46">
        <f>1500</f>
        <v>1500</v>
      </c>
    </row>
    <row r="201" spans="1:8" x14ac:dyDescent="0.3">
      <c r="A201" s="14"/>
      <c r="B201" s="18"/>
      <c r="C201" s="22"/>
      <c r="D201" s="23"/>
      <c r="E201" s="23"/>
      <c r="F201" s="23"/>
      <c r="G201" s="45" t="s">
        <v>294</v>
      </c>
      <c r="H201" s="46">
        <f>3000</f>
        <v>3000</v>
      </c>
    </row>
    <row r="202" spans="1:8" x14ac:dyDescent="0.3">
      <c r="A202" s="14"/>
      <c r="B202" s="18"/>
      <c r="C202" s="22"/>
      <c r="D202" s="23"/>
      <c r="E202" s="23"/>
      <c r="F202" s="23"/>
      <c r="G202" s="45" t="s">
        <v>295</v>
      </c>
      <c r="H202" s="46">
        <f>4000</f>
        <v>4000</v>
      </c>
    </row>
    <row r="203" spans="1:8" x14ac:dyDescent="0.3">
      <c r="A203" s="14"/>
      <c r="B203" s="18"/>
      <c r="C203" s="22"/>
      <c r="D203" s="23"/>
      <c r="E203" s="23"/>
      <c r="F203" s="23"/>
      <c r="G203" s="45" t="s">
        <v>296</v>
      </c>
      <c r="H203" s="46">
        <v>1000</v>
      </c>
    </row>
    <row r="204" spans="1:8" x14ac:dyDescent="0.3">
      <c r="A204" s="14"/>
      <c r="B204" s="18"/>
      <c r="C204" s="22"/>
      <c r="D204" s="23"/>
      <c r="E204" s="23"/>
      <c r="F204" s="23"/>
      <c r="G204" s="45" t="s">
        <v>28</v>
      </c>
      <c r="H204" s="46">
        <f>10000</f>
        <v>10000</v>
      </c>
    </row>
    <row r="205" spans="1:8" x14ac:dyDescent="0.3">
      <c r="A205" s="14"/>
      <c r="B205" s="18"/>
      <c r="C205" s="22"/>
      <c r="D205" s="23"/>
      <c r="E205" s="23"/>
      <c r="F205" s="23"/>
      <c r="G205" s="45" t="s">
        <v>29</v>
      </c>
      <c r="H205" s="46">
        <v>1000</v>
      </c>
    </row>
    <row r="206" spans="1:8" x14ac:dyDescent="0.3">
      <c r="A206" s="14"/>
      <c r="B206" s="18"/>
      <c r="C206" s="22"/>
      <c r="D206" s="23"/>
      <c r="E206" s="23"/>
      <c r="F206" s="23"/>
      <c r="G206" s="45" t="s">
        <v>297</v>
      </c>
      <c r="H206" s="46">
        <f>50*160*2</f>
        <v>16000</v>
      </c>
    </row>
    <row r="207" spans="1:8" x14ac:dyDescent="0.3">
      <c r="A207" s="14"/>
      <c r="B207" s="18"/>
      <c r="C207" s="22"/>
      <c r="D207" s="23"/>
      <c r="E207" s="23"/>
      <c r="F207" s="23"/>
      <c r="G207" s="45" t="s">
        <v>30</v>
      </c>
      <c r="H207" s="46">
        <f>1000</f>
        <v>1000</v>
      </c>
    </row>
    <row r="208" spans="1:8" x14ac:dyDescent="0.3">
      <c r="A208" s="14"/>
      <c r="B208" s="18"/>
      <c r="C208" s="22"/>
      <c r="D208" s="23"/>
      <c r="E208" s="23"/>
      <c r="F208" s="23"/>
      <c r="G208" s="45" t="s">
        <v>298</v>
      </c>
      <c r="H208" s="46">
        <f>10*160</f>
        <v>1600</v>
      </c>
    </row>
    <row r="209" spans="1:8" x14ac:dyDescent="0.3">
      <c r="A209" s="14"/>
      <c r="B209" s="18"/>
      <c r="C209" s="22"/>
      <c r="D209" s="23"/>
      <c r="E209" s="23"/>
      <c r="F209" s="23"/>
      <c r="G209" s="45" t="s">
        <v>31</v>
      </c>
      <c r="H209" s="46">
        <v>1000</v>
      </c>
    </row>
    <row r="210" spans="1:8" x14ac:dyDescent="0.3">
      <c r="A210" s="14"/>
      <c r="B210" s="18"/>
      <c r="C210" s="22"/>
      <c r="D210" s="23"/>
      <c r="E210" s="23"/>
      <c r="F210" s="23"/>
      <c r="G210" s="45" t="s">
        <v>32</v>
      </c>
      <c r="H210" s="46">
        <f>1000*10</f>
        <v>10000</v>
      </c>
    </row>
    <row r="211" spans="1:8" x14ac:dyDescent="0.3">
      <c r="A211" s="14"/>
      <c r="B211" s="18"/>
      <c r="C211" s="22"/>
      <c r="D211" s="23"/>
      <c r="E211" s="23"/>
      <c r="F211" s="23"/>
      <c r="G211" s="45" t="s">
        <v>299</v>
      </c>
      <c r="H211" s="46">
        <f>1000*5</f>
        <v>5000</v>
      </c>
    </row>
    <row r="212" spans="1:8" x14ac:dyDescent="0.3">
      <c r="A212" s="14"/>
      <c r="B212" s="18"/>
      <c r="C212" s="22"/>
      <c r="D212" s="23"/>
      <c r="E212" s="23"/>
      <c r="F212" s="23"/>
      <c r="G212" s="45" t="s">
        <v>33</v>
      </c>
      <c r="H212" s="46">
        <f>2000</f>
        <v>2000</v>
      </c>
    </row>
    <row r="213" spans="1:8" x14ac:dyDescent="0.3">
      <c r="A213" s="14"/>
      <c r="B213" s="18"/>
      <c r="C213" s="22"/>
      <c r="D213" s="23"/>
      <c r="E213" s="23"/>
      <c r="F213" s="23"/>
      <c r="G213" s="45" t="s">
        <v>34</v>
      </c>
      <c r="H213" s="46">
        <f>1000</f>
        <v>1000</v>
      </c>
    </row>
    <row r="214" spans="1:8" x14ac:dyDescent="0.3">
      <c r="A214" s="14"/>
      <c r="B214" s="18"/>
      <c r="C214" s="22"/>
      <c r="D214" s="23"/>
      <c r="E214" s="23"/>
      <c r="F214" s="23"/>
      <c r="G214" s="45" t="s">
        <v>300</v>
      </c>
      <c r="H214" s="46">
        <f>1000*7</f>
        <v>7000</v>
      </c>
    </row>
    <row r="215" spans="1:8" x14ac:dyDescent="0.3">
      <c r="A215" s="14"/>
      <c r="B215" s="18"/>
      <c r="C215" s="22"/>
      <c r="D215" s="23"/>
      <c r="E215" s="23"/>
      <c r="F215" s="23"/>
      <c r="G215" s="47" t="s">
        <v>301</v>
      </c>
      <c r="H215" s="48">
        <f>1000*2</f>
        <v>2000</v>
      </c>
    </row>
    <row r="216" spans="1:8" x14ac:dyDescent="0.3">
      <c r="A216" s="14"/>
      <c r="B216" s="18"/>
      <c r="C216" s="22"/>
      <c r="D216" s="23"/>
      <c r="E216" s="23"/>
      <c r="F216" s="23"/>
      <c r="G216" s="140" t="s">
        <v>302</v>
      </c>
      <c r="H216" s="141">
        <f>SUM(H172:H215)</f>
        <v>173750</v>
      </c>
    </row>
    <row r="217" spans="1:8" x14ac:dyDescent="0.3">
      <c r="A217" s="14"/>
      <c r="B217" s="18"/>
      <c r="C217" s="22"/>
      <c r="D217" s="23"/>
      <c r="E217" s="23"/>
      <c r="F217" s="23"/>
      <c r="G217" s="133" t="s">
        <v>303</v>
      </c>
      <c r="H217" s="134"/>
    </row>
    <row r="218" spans="1:8" x14ac:dyDescent="0.3">
      <c r="A218" s="14"/>
      <c r="B218" s="18"/>
      <c r="C218" s="22"/>
      <c r="D218" s="23"/>
      <c r="E218" s="23"/>
      <c r="F218" s="23"/>
      <c r="G218" s="142" t="s">
        <v>304</v>
      </c>
      <c r="H218" s="46"/>
    </row>
    <row r="219" spans="1:8" x14ac:dyDescent="0.3">
      <c r="A219" s="14"/>
      <c r="B219" s="18"/>
      <c r="C219" s="22"/>
      <c r="D219" s="23"/>
      <c r="E219" s="23"/>
      <c r="F219" s="23"/>
      <c r="G219" s="45" t="s">
        <v>305</v>
      </c>
      <c r="H219" s="46">
        <f>50*30</f>
        <v>1500</v>
      </c>
    </row>
    <row r="220" spans="1:8" x14ac:dyDescent="0.3">
      <c r="A220" s="14"/>
      <c r="B220" s="18"/>
      <c r="C220" s="22"/>
      <c r="D220" s="23"/>
      <c r="E220" s="23"/>
      <c r="F220" s="23"/>
      <c r="G220" s="142" t="s">
        <v>306</v>
      </c>
      <c r="H220" s="46"/>
    </row>
    <row r="221" spans="1:8" x14ac:dyDescent="0.3">
      <c r="A221" s="14"/>
      <c r="B221" s="18"/>
      <c r="C221" s="22"/>
      <c r="D221" s="23"/>
      <c r="E221" s="23"/>
      <c r="F221" s="23"/>
      <c r="G221" s="49" t="s">
        <v>307</v>
      </c>
      <c r="H221" s="50">
        <f>50*50</f>
        <v>2500</v>
      </c>
    </row>
    <row r="222" spans="1:8" x14ac:dyDescent="0.3">
      <c r="A222" s="14"/>
      <c r="B222" s="18"/>
      <c r="C222" s="22"/>
      <c r="D222" s="23"/>
      <c r="E222" s="23"/>
      <c r="F222" s="23"/>
      <c r="G222" s="49" t="s">
        <v>308</v>
      </c>
      <c r="H222" s="50">
        <f>10*400*2</f>
        <v>8000</v>
      </c>
    </row>
    <row r="223" spans="1:8" x14ac:dyDescent="0.3">
      <c r="A223" s="14"/>
      <c r="B223" s="18"/>
      <c r="C223" s="22"/>
      <c r="D223" s="23"/>
      <c r="E223" s="23"/>
      <c r="F223" s="23"/>
      <c r="G223" s="166" t="s">
        <v>309</v>
      </c>
      <c r="H223" s="50"/>
    </row>
    <row r="224" spans="1:8" x14ac:dyDescent="0.3">
      <c r="A224" s="14"/>
      <c r="B224" s="18"/>
      <c r="C224" s="22"/>
      <c r="D224" s="23"/>
      <c r="E224" s="23"/>
      <c r="F224" s="23"/>
      <c r="G224" s="45" t="s">
        <v>310</v>
      </c>
      <c r="H224" s="46">
        <f>10*200*2</f>
        <v>4000</v>
      </c>
    </row>
    <row r="225" spans="1:8" x14ac:dyDescent="0.3">
      <c r="A225" s="14"/>
      <c r="B225" s="18"/>
      <c r="C225" s="22"/>
      <c r="D225" s="23"/>
      <c r="E225" s="23"/>
      <c r="F225" s="23"/>
      <c r="G225" s="45" t="s">
        <v>307</v>
      </c>
      <c r="H225" s="46">
        <f>50*50</f>
        <v>2500</v>
      </c>
    </row>
    <row r="226" spans="1:8" x14ac:dyDescent="0.3">
      <c r="A226" s="14"/>
      <c r="B226" s="18"/>
      <c r="C226" s="22"/>
      <c r="D226" s="23"/>
      <c r="E226" s="23"/>
      <c r="F226" s="23"/>
      <c r="G226" s="45" t="s">
        <v>311</v>
      </c>
      <c r="H226" s="46">
        <f>1500</f>
        <v>1500</v>
      </c>
    </row>
    <row r="227" spans="1:8" x14ac:dyDescent="0.3">
      <c r="A227" s="14"/>
      <c r="B227" s="18"/>
      <c r="C227" s="22"/>
      <c r="D227" s="23"/>
      <c r="E227" s="23"/>
      <c r="F227" s="23"/>
      <c r="G227" s="47" t="s">
        <v>312</v>
      </c>
      <c r="H227" s="48">
        <f>30*300</f>
        <v>9000</v>
      </c>
    </row>
    <row r="228" spans="1:8" x14ac:dyDescent="0.3">
      <c r="A228" s="14"/>
      <c r="B228" s="18"/>
      <c r="C228" s="22"/>
      <c r="D228" s="23"/>
      <c r="E228" s="23"/>
      <c r="F228" s="23"/>
      <c r="G228" s="140" t="s">
        <v>302</v>
      </c>
      <c r="H228" s="141">
        <f>SUM(H217:H227)</f>
        <v>29000</v>
      </c>
    </row>
    <row r="229" spans="1:8" x14ac:dyDescent="0.3">
      <c r="A229" s="14"/>
      <c r="B229" s="18"/>
      <c r="C229" s="22"/>
      <c r="D229" s="23"/>
      <c r="E229" s="23"/>
      <c r="F229" s="23"/>
      <c r="G229" s="133" t="s">
        <v>313</v>
      </c>
      <c r="H229" s="134"/>
    </row>
    <row r="230" spans="1:8" x14ac:dyDescent="0.3">
      <c r="A230" s="14"/>
      <c r="B230" s="18"/>
      <c r="C230" s="22"/>
      <c r="D230" s="23"/>
      <c r="E230" s="23"/>
      <c r="F230" s="23"/>
      <c r="G230" s="142" t="s">
        <v>304</v>
      </c>
      <c r="H230" s="46"/>
    </row>
    <row r="231" spans="1:8" x14ac:dyDescent="0.3">
      <c r="A231" s="14"/>
      <c r="B231" s="18"/>
      <c r="C231" s="22"/>
      <c r="D231" s="23"/>
      <c r="E231" s="23"/>
      <c r="F231" s="23"/>
      <c r="G231" s="45" t="s">
        <v>314</v>
      </c>
      <c r="H231" s="46">
        <f>21*75*4</f>
        <v>6300</v>
      </c>
    </row>
    <row r="232" spans="1:8" x14ac:dyDescent="0.3">
      <c r="A232" s="14"/>
      <c r="B232" s="18"/>
      <c r="C232" s="22"/>
      <c r="D232" s="23"/>
      <c r="E232" s="23"/>
      <c r="F232" s="23"/>
      <c r="G232" s="49" t="s">
        <v>315</v>
      </c>
      <c r="H232" s="50">
        <f>20*75*4</f>
        <v>6000</v>
      </c>
    </row>
    <row r="233" spans="1:8" x14ac:dyDescent="0.3">
      <c r="A233" s="14"/>
      <c r="B233" s="18"/>
      <c r="C233" s="22"/>
      <c r="D233" s="23"/>
      <c r="E233" s="23"/>
      <c r="F233" s="23"/>
      <c r="G233" s="45" t="s">
        <v>316</v>
      </c>
      <c r="H233" s="46">
        <f>300*4*2</f>
        <v>2400</v>
      </c>
    </row>
    <row r="234" spans="1:8" x14ac:dyDescent="0.3">
      <c r="A234" s="14"/>
      <c r="B234" s="18"/>
      <c r="C234" s="22"/>
      <c r="D234" s="23"/>
      <c r="E234" s="23"/>
      <c r="F234" s="23"/>
      <c r="G234" s="45" t="s">
        <v>317</v>
      </c>
      <c r="H234" s="46">
        <f>50*75*2</f>
        <v>7500</v>
      </c>
    </row>
    <row r="235" spans="1:8" x14ac:dyDescent="0.3">
      <c r="A235" s="14"/>
      <c r="B235" s="18"/>
      <c r="C235" s="22"/>
      <c r="D235" s="23"/>
      <c r="E235" s="23"/>
      <c r="F235" s="23"/>
      <c r="G235" s="142" t="s">
        <v>306</v>
      </c>
      <c r="H235" s="46"/>
    </row>
    <row r="236" spans="1:8" x14ac:dyDescent="0.3">
      <c r="A236" s="14"/>
      <c r="B236" s="18"/>
      <c r="C236" s="22"/>
      <c r="D236" s="23"/>
      <c r="E236" s="23"/>
      <c r="F236" s="23"/>
      <c r="G236" s="49" t="s">
        <v>318</v>
      </c>
      <c r="H236" s="50">
        <f>40*250*2</f>
        <v>20000</v>
      </c>
    </row>
    <row r="237" spans="1:8" x14ac:dyDescent="0.3">
      <c r="A237" s="14"/>
      <c r="B237" s="18"/>
      <c r="C237" s="22"/>
      <c r="D237" s="23"/>
      <c r="E237" s="23"/>
      <c r="F237" s="23"/>
      <c r="G237" s="49" t="s">
        <v>319</v>
      </c>
      <c r="H237" s="50">
        <f>50*30</f>
        <v>1500</v>
      </c>
    </row>
    <row r="238" spans="1:8" x14ac:dyDescent="0.3">
      <c r="A238" s="14"/>
      <c r="B238" s="18"/>
      <c r="C238" s="22"/>
      <c r="D238" s="23"/>
      <c r="E238" s="23"/>
      <c r="F238" s="23"/>
      <c r="G238" s="49" t="s">
        <v>320</v>
      </c>
      <c r="H238" s="50">
        <f>650*8*2</f>
        <v>10400</v>
      </c>
    </row>
    <row r="239" spans="1:8" x14ac:dyDescent="0.3">
      <c r="A239" s="14"/>
      <c r="B239" s="18"/>
      <c r="C239" s="22"/>
      <c r="D239" s="23"/>
      <c r="E239" s="23"/>
      <c r="F239" s="23"/>
      <c r="G239" s="49" t="s">
        <v>321</v>
      </c>
      <c r="H239" s="50">
        <f>50*50*2</f>
        <v>5000</v>
      </c>
    </row>
    <row r="240" spans="1:8" x14ac:dyDescent="0.3">
      <c r="A240" s="14"/>
      <c r="B240" s="18"/>
      <c r="C240" s="22"/>
      <c r="D240" s="23"/>
      <c r="E240" s="23"/>
      <c r="F240" s="23"/>
      <c r="G240" s="49" t="s">
        <v>322</v>
      </c>
      <c r="H240" s="50">
        <f>50*26*2</f>
        <v>2600</v>
      </c>
    </row>
    <row r="241" spans="1:8" ht="24" x14ac:dyDescent="0.3">
      <c r="A241" s="14"/>
      <c r="B241" s="18"/>
      <c r="C241" s="22"/>
      <c r="D241" s="23"/>
      <c r="E241" s="23"/>
      <c r="F241" s="23"/>
      <c r="G241" s="49" t="s">
        <v>437</v>
      </c>
      <c r="H241" s="50">
        <f>62*250*2</f>
        <v>31000</v>
      </c>
    </row>
    <row r="242" spans="1:8" x14ac:dyDescent="0.3">
      <c r="A242" s="14"/>
      <c r="B242" s="18"/>
      <c r="C242" s="22"/>
      <c r="D242" s="23"/>
      <c r="E242" s="23"/>
      <c r="F242" s="23"/>
      <c r="G242" s="49" t="s">
        <v>323</v>
      </c>
      <c r="H242" s="50">
        <f>100*8</f>
        <v>800</v>
      </c>
    </row>
    <row r="243" spans="1:8" x14ac:dyDescent="0.3">
      <c r="A243" s="14"/>
      <c r="B243" s="18"/>
      <c r="C243" s="22"/>
      <c r="D243" s="23"/>
      <c r="E243" s="23"/>
      <c r="F243" s="23"/>
      <c r="G243" s="49" t="s">
        <v>324</v>
      </c>
      <c r="H243" s="50">
        <f>2000*5</f>
        <v>10000</v>
      </c>
    </row>
    <row r="244" spans="1:8" x14ac:dyDescent="0.3">
      <c r="A244" s="14"/>
      <c r="B244" s="18"/>
      <c r="C244" s="22"/>
      <c r="D244" s="23"/>
      <c r="E244" s="23"/>
      <c r="F244" s="23"/>
      <c r="G244" s="49" t="s">
        <v>454</v>
      </c>
      <c r="H244" s="50">
        <f>500*4</f>
        <v>2000</v>
      </c>
    </row>
    <row r="245" spans="1:8" ht="24" x14ac:dyDescent="0.3">
      <c r="A245" s="14"/>
      <c r="B245" s="18"/>
      <c r="C245" s="22"/>
      <c r="D245" s="23"/>
      <c r="E245" s="23"/>
      <c r="F245" s="23"/>
      <c r="G245" s="174" t="s">
        <v>455</v>
      </c>
      <c r="H245" s="175">
        <v>2000</v>
      </c>
    </row>
    <row r="246" spans="1:8" ht="24" x14ac:dyDescent="0.3">
      <c r="A246" s="14"/>
      <c r="B246" s="18"/>
      <c r="C246" s="22"/>
      <c r="D246" s="23"/>
      <c r="E246" s="23"/>
      <c r="F246" s="23"/>
      <c r="G246" s="49" t="s">
        <v>325</v>
      </c>
      <c r="H246" s="50">
        <f>12*250*2+400*2*7</f>
        <v>11600</v>
      </c>
    </row>
    <row r="247" spans="1:8" ht="24" x14ac:dyDescent="0.3">
      <c r="A247" s="14"/>
      <c r="B247" s="18"/>
      <c r="C247" s="22"/>
      <c r="D247" s="23"/>
      <c r="E247" s="23"/>
      <c r="F247" s="23"/>
      <c r="G247" s="49" t="s">
        <v>326</v>
      </c>
      <c r="H247" s="50">
        <f>1000*12</f>
        <v>12000</v>
      </c>
    </row>
    <row r="248" spans="1:8" x14ac:dyDescent="0.3">
      <c r="A248" s="14"/>
      <c r="B248" s="18"/>
      <c r="C248" s="22"/>
      <c r="D248" s="23"/>
      <c r="E248" s="23"/>
      <c r="F248" s="23"/>
      <c r="G248" s="174" t="s">
        <v>452</v>
      </c>
      <c r="H248" s="175">
        <v>23940</v>
      </c>
    </row>
    <row r="249" spans="1:8" x14ac:dyDescent="0.3">
      <c r="A249" s="14"/>
      <c r="B249" s="18"/>
      <c r="C249" s="22"/>
      <c r="D249" s="23"/>
      <c r="E249" s="23"/>
      <c r="F249" s="23"/>
      <c r="G249" s="142" t="s">
        <v>309</v>
      </c>
      <c r="H249" s="46"/>
    </row>
    <row r="250" spans="1:8" x14ac:dyDescent="0.3">
      <c r="A250" s="14"/>
      <c r="B250" s="18"/>
      <c r="C250" s="22"/>
      <c r="D250" s="23"/>
      <c r="E250" s="23"/>
      <c r="F250" s="23"/>
      <c r="G250" s="45" t="s">
        <v>327</v>
      </c>
      <c r="H250" s="46">
        <f>50*160*2</f>
        <v>16000</v>
      </c>
    </row>
    <row r="251" spans="1:8" x14ac:dyDescent="0.3">
      <c r="A251" s="14"/>
      <c r="B251" s="18"/>
      <c r="C251" s="22"/>
      <c r="D251" s="23"/>
      <c r="E251" s="23"/>
      <c r="F251" s="23"/>
      <c r="G251" s="45" t="s">
        <v>328</v>
      </c>
      <c r="H251" s="46">
        <f>50*160*2</f>
        <v>16000</v>
      </c>
    </row>
    <row r="252" spans="1:8" x14ac:dyDescent="0.3">
      <c r="A252" s="14"/>
      <c r="B252" s="18"/>
      <c r="C252" s="22"/>
      <c r="D252" s="23"/>
      <c r="E252" s="23"/>
      <c r="F252" s="23"/>
      <c r="G252" s="45" t="s">
        <v>329</v>
      </c>
      <c r="H252" s="46">
        <f>50*160*2</f>
        <v>16000</v>
      </c>
    </row>
    <row r="253" spans="1:8" x14ac:dyDescent="0.3">
      <c r="A253" s="14"/>
      <c r="B253" s="18"/>
      <c r="C253" s="22"/>
      <c r="D253" s="23"/>
      <c r="E253" s="23"/>
      <c r="F253" s="23"/>
      <c r="G253" s="45" t="s">
        <v>330</v>
      </c>
      <c r="H253" s="46">
        <f>50*23</f>
        <v>1150</v>
      </c>
    </row>
    <row r="254" spans="1:8" x14ac:dyDescent="0.3">
      <c r="A254" s="14"/>
      <c r="B254" s="18"/>
      <c r="C254" s="22"/>
      <c r="D254" s="23"/>
      <c r="E254" s="23"/>
      <c r="F254" s="23"/>
      <c r="G254" s="45" t="s">
        <v>331</v>
      </c>
      <c r="H254" s="46">
        <v>1000</v>
      </c>
    </row>
    <row r="255" spans="1:8" x14ac:dyDescent="0.3">
      <c r="A255" s="14"/>
      <c r="B255" s="18"/>
      <c r="C255" s="22"/>
      <c r="D255" s="23"/>
      <c r="E255" s="23"/>
      <c r="F255" s="23"/>
      <c r="G255" s="45" t="s">
        <v>332</v>
      </c>
      <c r="H255" s="46">
        <v>1000</v>
      </c>
    </row>
    <row r="256" spans="1:8" x14ac:dyDescent="0.3">
      <c r="A256" s="14"/>
      <c r="B256" s="18"/>
      <c r="C256" s="22"/>
      <c r="D256" s="23"/>
      <c r="E256" s="23"/>
      <c r="F256" s="23"/>
      <c r="G256" s="45" t="s">
        <v>333</v>
      </c>
      <c r="H256" s="46">
        <f>50*25*1</f>
        <v>1250</v>
      </c>
    </row>
    <row r="257" spans="1:8" x14ac:dyDescent="0.3">
      <c r="A257" s="14"/>
      <c r="B257" s="18"/>
      <c r="C257" s="22"/>
      <c r="D257" s="23"/>
      <c r="E257" s="23"/>
      <c r="F257" s="23"/>
      <c r="G257" s="45" t="s">
        <v>334</v>
      </c>
      <c r="H257" s="46">
        <f>500*5</f>
        <v>2500</v>
      </c>
    </row>
    <row r="258" spans="1:8" x14ac:dyDescent="0.3">
      <c r="A258" s="14"/>
      <c r="B258" s="18"/>
      <c r="C258" s="22"/>
      <c r="D258" s="23"/>
      <c r="E258" s="23"/>
      <c r="F258" s="23"/>
      <c r="G258" s="45" t="s">
        <v>335</v>
      </c>
      <c r="H258" s="46">
        <f>20*160*2</f>
        <v>6400</v>
      </c>
    </row>
    <row r="259" spans="1:8" x14ac:dyDescent="0.3">
      <c r="A259" s="14"/>
      <c r="B259" s="18"/>
      <c r="C259" s="22"/>
      <c r="D259" s="23"/>
      <c r="E259" s="23"/>
      <c r="F259" s="23"/>
      <c r="G259" s="45" t="s">
        <v>336</v>
      </c>
      <c r="H259" s="46">
        <f>6000*2</f>
        <v>12000</v>
      </c>
    </row>
    <row r="260" spans="1:8" x14ac:dyDescent="0.3">
      <c r="A260" s="14"/>
      <c r="B260" s="18"/>
      <c r="C260" s="22"/>
      <c r="D260" s="23"/>
      <c r="E260" s="23"/>
      <c r="F260" s="23"/>
      <c r="G260" s="142" t="s">
        <v>337</v>
      </c>
      <c r="H260" s="46"/>
    </row>
    <row r="261" spans="1:8" x14ac:dyDescent="0.3">
      <c r="A261" s="14"/>
      <c r="B261" s="18"/>
      <c r="C261" s="22"/>
      <c r="D261" s="23"/>
      <c r="E261" s="23"/>
      <c r="F261" s="23"/>
      <c r="G261" s="88" t="s">
        <v>444</v>
      </c>
      <c r="H261" s="46">
        <v>23362</v>
      </c>
    </row>
    <row r="262" spans="1:8" x14ac:dyDescent="0.3">
      <c r="A262" s="14"/>
      <c r="B262" s="18"/>
      <c r="C262" s="22"/>
      <c r="D262" s="23"/>
      <c r="E262" s="23"/>
      <c r="F262" s="23"/>
      <c r="G262" s="47" t="s">
        <v>338</v>
      </c>
      <c r="H262" s="48">
        <v>60000</v>
      </c>
    </row>
    <row r="263" spans="1:8" x14ac:dyDescent="0.3">
      <c r="A263" s="14"/>
      <c r="B263" s="18"/>
      <c r="C263" s="22"/>
      <c r="D263" s="23"/>
      <c r="E263" s="23"/>
      <c r="F263" s="23"/>
      <c r="G263" s="140" t="s">
        <v>302</v>
      </c>
      <c r="H263" s="141">
        <f>SUM(H229:H262)</f>
        <v>311702</v>
      </c>
    </row>
    <row r="264" spans="1:8" x14ac:dyDescent="0.3">
      <c r="A264" s="14"/>
      <c r="B264" s="18"/>
      <c r="C264" s="22"/>
      <c r="D264" s="23"/>
      <c r="E264" s="23"/>
      <c r="F264" s="23"/>
      <c r="G264" s="133" t="s">
        <v>339</v>
      </c>
      <c r="H264" s="134"/>
    </row>
    <row r="265" spans="1:8" x14ac:dyDescent="0.3">
      <c r="A265" s="14"/>
      <c r="B265" s="18"/>
      <c r="C265" s="22"/>
      <c r="D265" s="23"/>
      <c r="E265" s="23"/>
      <c r="F265" s="23"/>
      <c r="G265" s="142" t="s">
        <v>304</v>
      </c>
      <c r="H265" s="46"/>
    </row>
    <row r="266" spans="1:8" x14ac:dyDescent="0.3">
      <c r="A266" s="14"/>
      <c r="B266" s="18"/>
      <c r="C266" s="22"/>
      <c r="D266" s="23"/>
      <c r="E266" s="23"/>
      <c r="F266" s="23"/>
      <c r="G266" s="45" t="s">
        <v>340</v>
      </c>
      <c r="H266" s="46">
        <f>500*4*2</f>
        <v>4000</v>
      </c>
    </row>
    <row r="267" spans="1:8" x14ac:dyDescent="0.3">
      <c r="A267" s="14"/>
      <c r="B267" s="18"/>
      <c r="C267" s="22"/>
      <c r="D267" s="23"/>
      <c r="E267" s="23"/>
      <c r="F267" s="23"/>
      <c r="G267" s="142" t="s">
        <v>306</v>
      </c>
      <c r="H267" s="46"/>
    </row>
    <row r="268" spans="1:8" x14ac:dyDescent="0.3">
      <c r="A268" s="14"/>
      <c r="B268" s="18"/>
      <c r="C268" s="22"/>
      <c r="D268" s="23"/>
      <c r="E268" s="23"/>
      <c r="F268" s="23"/>
      <c r="G268" s="49" t="s">
        <v>423</v>
      </c>
      <c r="H268" s="50">
        <f>500*11*2</f>
        <v>11000</v>
      </c>
    </row>
    <row r="269" spans="1:8" x14ac:dyDescent="0.3">
      <c r="A269" s="14"/>
      <c r="B269" s="18"/>
      <c r="C269" s="22"/>
      <c r="D269" s="23"/>
      <c r="E269" s="23"/>
      <c r="F269" s="23"/>
      <c r="G269" s="49" t="s">
        <v>341</v>
      </c>
      <c r="H269" s="50">
        <f>500*5*2</f>
        <v>5000</v>
      </c>
    </row>
    <row r="270" spans="1:8" x14ac:dyDescent="0.3">
      <c r="A270" s="14"/>
      <c r="B270" s="18"/>
      <c r="C270" s="22"/>
      <c r="D270" s="23"/>
      <c r="E270" s="23"/>
      <c r="F270" s="23"/>
      <c r="G270" s="166" t="s">
        <v>309</v>
      </c>
      <c r="H270" s="50"/>
    </row>
    <row r="271" spans="1:8" x14ac:dyDescent="0.3">
      <c r="A271" s="14"/>
      <c r="B271" s="18"/>
      <c r="C271" s="22"/>
      <c r="D271" s="23"/>
      <c r="E271" s="23"/>
      <c r="F271" s="23"/>
      <c r="G271" s="45" t="s">
        <v>424</v>
      </c>
      <c r="H271" s="46">
        <f>500*3*2</f>
        <v>3000</v>
      </c>
    </row>
    <row r="272" spans="1:8" x14ac:dyDescent="0.3">
      <c r="A272" s="14"/>
      <c r="B272" s="18"/>
      <c r="C272" s="22"/>
      <c r="D272" s="23"/>
      <c r="E272" s="23"/>
      <c r="F272" s="23"/>
      <c r="G272" s="45" t="s">
        <v>425</v>
      </c>
      <c r="H272" s="46">
        <f>500*6*2</f>
        <v>6000</v>
      </c>
    </row>
    <row r="273" spans="1:8" x14ac:dyDescent="0.3">
      <c r="A273" s="14"/>
      <c r="B273" s="18"/>
      <c r="C273" s="22"/>
      <c r="D273" s="23"/>
      <c r="E273" s="23"/>
      <c r="F273" s="23"/>
      <c r="G273" s="47" t="s">
        <v>342</v>
      </c>
      <c r="H273" s="48">
        <v>1000</v>
      </c>
    </row>
    <row r="274" spans="1:8" x14ac:dyDescent="0.3">
      <c r="A274" s="14"/>
      <c r="B274" s="18"/>
      <c r="C274" s="22"/>
      <c r="D274" s="23"/>
      <c r="E274" s="23"/>
      <c r="F274" s="23"/>
      <c r="G274" s="140" t="s">
        <v>302</v>
      </c>
      <c r="H274" s="141">
        <f>SUM(H264:H273)</f>
        <v>30000</v>
      </c>
    </row>
    <row r="275" spans="1:8" x14ac:dyDescent="0.3">
      <c r="A275" s="14"/>
      <c r="B275" s="18"/>
      <c r="C275" s="22"/>
      <c r="D275" s="23"/>
      <c r="E275" s="23"/>
      <c r="F275" s="23"/>
      <c r="G275" s="133" t="s">
        <v>343</v>
      </c>
      <c r="H275" s="134"/>
    </row>
    <row r="276" spans="1:8" x14ac:dyDescent="0.3">
      <c r="A276" s="14"/>
      <c r="B276" s="18"/>
      <c r="C276" s="22"/>
      <c r="D276" s="23"/>
      <c r="E276" s="23"/>
      <c r="F276" s="23"/>
      <c r="G276" s="142" t="s">
        <v>306</v>
      </c>
      <c r="H276" s="46"/>
    </row>
    <row r="277" spans="1:8" x14ac:dyDescent="0.3">
      <c r="A277" s="14"/>
      <c r="B277" s="18"/>
      <c r="C277" s="22"/>
      <c r="D277" s="23"/>
      <c r="E277" s="23"/>
      <c r="F277" s="23"/>
      <c r="G277" s="49" t="s">
        <v>344</v>
      </c>
      <c r="H277" s="50">
        <f>500*2</f>
        <v>1000</v>
      </c>
    </row>
    <row r="278" spans="1:8" x14ac:dyDescent="0.3">
      <c r="A278" s="14"/>
      <c r="B278" s="18"/>
      <c r="C278" s="22"/>
      <c r="D278" s="23"/>
      <c r="E278" s="23"/>
      <c r="F278" s="23"/>
      <c r="G278" s="49" t="s">
        <v>345</v>
      </c>
      <c r="H278" s="50">
        <f>10*140</f>
        <v>1400</v>
      </c>
    </row>
    <row r="279" spans="1:8" x14ac:dyDescent="0.3">
      <c r="A279" s="14"/>
      <c r="B279" s="18"/>
      <c r="C279" s="22"/>
      <c r="D279" s="23"/>
      <c r="E279" s="23"/>
      <c r="F279" s="23"/>
      <c r="G279" s="49" t="s">
        <v>346</v>
      </c>
      <c r="H279" s="50">
        <f>150*60</f>
        <v>9000</v>
      </c>
    </row>
    <row r="280" spans="1:8" x14ac:dyDescent="0.3">
      <c r="A280" s="14"/>
      <c r="B280" s="18"/>
      <c r="C280" s="22"/>
      <c r="D280" s="23"/>
      <c r="E280" s="23"/>
      <c r="F280" s="23"/>
      <c r="G280" s="49" t="s">
        <v>347</v>
      </c>
      <c r="H280" s="50">
        <f>150*60</f>
        <v>9000</v>
      </c>
    </row>
    <row r="281" spans="1:8" x14ac:dyDescent="0.3">
      <c r="A281" s="14"/>
      <c r="B281" s="18"/>
      <c r="C281" s="22"/>
      <c r="D281" s="23"/>
      <c r="E281" s="23"/>
      <c r="F281" s="23"/>
      <c r="G281" s="49" t="s">
        <v>348</v>
      </c>
      <c r="H281" s="50">
        <f>150*30</f>
        <v>4500</v>
      </c>
    </row>
    <row r="282" spans="1:8" ht="24" x14ac:dyDescent="0.3">
      <c r="A282" s="14"/>
      <c r="B282" s="18"/>
      <c r="C282" s="22"/>
      <c r="D282" s="23"/>
      <c r="E282" s="23"/>
      <c r="F282" s="23"/>
      <c r="G282" s="49" t="s">
        <v>428</v>
      </c>
      <c r="H282" s="50">
        <f>60*125+50*86+9*60</f>
        <v>12340</v>
      </c>
    </row>
    <row r="283" spans="1:8" ht="24" x14ac:dyDescent="0.3">
      <c r="A283" s="14"/>
      <c r="B283" s="18"/>
      <c r="C283" s="22"/>
      <c r="D283" s="23"/>
      <c r="E283" s="23"/>
      <c r="F283" s="23"/>
      <c r="G283" s="49" t="s">
        <v>349</v>
      </c>
      <c r="H283" s="50">
        <f>80*14*1</f>
        <v>1120</v>
      </c>
    </row>
    <row r="284" spans="1:8" x14ac:dyDescent="0.3">
      <c r="A284" s="14"/>
      <c r="B284" s="18"/>
      <c r="C284" s="22"/>
      <c r="D284" s="23"/>
      <c r="E284" s="23"/>
      <c r="F284" s="23"/>
      <c r="G284" s="142" t="s">
        <v>309</v>
      </c>
      <c r="H284" s="46"/>
    </row>
    <row r="285" spans="1:8" ht="24" x14ac:dyDescent="0.3">
      <c r="A285" s="14"/>
      <c r="B285" s="18"/>
      <c r="C285" s="22"/>
      <c r="D285" s="23"/>
      <c r="E285" s="23"/>
      <c r="F285" s="23"/>
      <c r="G285" s="174" t="s">
        <v>453</v>
      </c>
      <c r="H285" s="175">
        <v>6000</v>
      </c>
    </row>
    <row r="286" spans="1:8" x14ac:dyDescent="0.3">
      <c r="A286" s="14"/>
      <c r="B286" s="18"/>
      <c r="C286" s="22"/>
      <c r="D286" s="23"/>
      <c r="E286" s="23"/>
      <c r="F286" s="23"/>
      <c r="G286" s="45" t="s">
        <v>350</v>
      </c>
      <c r="H286" s="46">
        <f>1000*2</f>
        <v>2000</v>
      </c>
    </row>
    <row r="287" spans="1:8" x14ac:dyDescent="0.3">
      <c r="A287" s="14"/>
      <c r="B287" s="18"/>
      <c r="C287" s="22"/>
      <c r="D287" s="23"/>
      <c r="E287" s="23"/>
      <c r="F287" s="23"/>
      <c r="G287" s="45" t="s">
        <v>351</v>
      </c>
      <c r="H287" s="46">
        <f>150*6*2</f>
        <v>1800</v>
      </c>
    </row>
    <row r="288" spans="1:8" x14ac:dyDescent="0.3">
      <c r="A288" s="14"/>
      <c r="B288" s="18"/>
      <c r="C288" s="22"/>
      <c r="D288" s="23"/>
      <c r="E288" s="23"/>
      <c r="F288" s="23"/>
      <c r="G288" s="45" t="s">
        <v>352</v>
      </c>
      <c r="H288" s="46">
        <f>10*100</f>
        <v>1000</v>
      </c>
    </row>
    <row r="289" spans="1:8" x14ac:dyDescent="0.3">
      <c r="A289" s="14"/>
      <c r="B289" s="18"/>
      <c r="C289" s="22"/>
      <c r="D289" s="23"/>
      <c r="E289" s="23"/>
      <c r="F289" s="23"/>
      <c r="G289" s="45" t="s">
        <v>346</v>
      </c>
      <c r="H289" s="46">
        <f>150*60</f>
        <v>9000</v>
      </c>
    </row>
    <row r="290" spans="1:8" x14ac:dyDescent="0.3">
      <c r="A290" s="14"/>
      <c r="B290" s="18"/>
      <c r="C290" s="22"/>
      <c r="D290" s="23"/>
      <c r="E290" s="23"/>
      <c r="F290" s="23"/>
      <c r="G290" s="45" t="s">
        <v>347</v>
      </c>
      <c r="H290" s="46">
        <f>150*60</f>
        <v>9000</v>
      </c>
    </row>
    <row r="291" spans="1:8" x14ac:dyDescent="0.3">
      <c r="A291" s="14"/>
      <c r="B291" s="18"/>
      <c r="C291" s="22"/>
      <c r="D291" s="23"/>
      <c r="E291" s="23"/>
      <c r="F291" s="23"/>
      <c r="G291" s="45" t="s">
        <v>353</v>
      </c>
      <c r="H291" s="46">
        <f>150*60</f>
        <v>9000</v>
      </c>
    </row>
    <row r="292" spans="1:8" x14ac:dyDescent="0.3">
      <c r="A292" s="14"/>
      <c r="B292" s="18"/>
      <c r="C292" s="25"/>
      <c r="D292" s="26"/>
      <c r="E292" s="26"/>
      <c r="F292" s="26"/>
      <c r="G292" s="140" t="s">
        <v>302</v>
      </c>
      <c r="H292" s="141">
        <f>SUM(H275:H291)</f>
        <v>76160</v>
      </c>
    </row>
    <row r="293" spans="1:8" x14ac:dyDescent="0.3">
      <c r="A293" s="14"/>
      <c r="B293" s="27" t="s">
        <v>35</v>
      </c>
      <c r="C293" s="28"/>
      <c r="D293" s="29">
        <f>SUM(D294:D296)</f>
        <v>258561</v>
      </c>
      <c r="E293" s="29">
        <f>E294+E296</f>
        <v>258561</v>
      </c>
      <c r="F293" s="29">
        <f>D293-E293</f>
        <v>0</v>
      </c>
      <c r="G293" s="138"/>
      <c r="H293" s="139"/>
    </row>
    <row r="294" spans="1:8" x14ac:dyDescent="0.3">
      <c r="A294" s="14"/>
      <c r="B294" s="18"/>
      <c r="C294" s="19" t="s">
        <v>36</v>
      </c>
      <c r="D294" s="20">
        <f>H295</f>
        <v>0</v>
      </c>
      <c r="E294" s="20"/>
      <c r="F294" s="20">
        <f>D294-E294</f>
        <v>0</v>
      </c>
      <c r="G294" s="147" t="s">
        <v>354</v>
      </c>
      <c r="H294" s="134">
        <v>0</v>
      </c>
    </row>
    <row r="295" spans="1:8" x14ac:dyDescent="0.3">
      <c r="A295" s="14"/>
      <c r="B295" s="18"/>
      <c r="C295" s="22"/>
      <c r="D295" s="23"/>
      <c r="E295" s="23"/>
      <c r="F295" s="23"/>
      <c r="G295" s="140" t="s">
        <v>302</v>
      </c>
      <c r="H295" s="141">
        <f>SUM(H294:H294)</f>
        <v>0</v>
      </c>
    </row>
    <row r="296" spans="1:8" x14ac:dyDescent="0.3">
      <c r="A296" s="14"/>
      <c r="B296" s="18"/>
      <c r="C296" s="22" t="s">
        <v>38</v>
      </c>
      <c r="D296" s="23">
        <f>H305+H309+H314+H325</f>
        <v>258561</v>
      </c>
      <c r="E296" s="23">
        <v>258561</v>
      </c>
      <c r="F296" s="23">
        <f>D296-E296</f>
        <v>0</v>
      </c>
      <c r="G296" s="133" t="s">
        <v>355</v>
      </c>
      <c r="H296" s="134"/>
    </row>
    <row r="297" spans="1:8" x14ac:dyDescent="0.3">
      <c r="A297" s="14"/>
      <c r="B297" s="18"/>
      <c r="C297" s="22"/>
      <c r="D297" s="23"/>
      <c r="E297" s="23"/>
      <c r="F297" s="23"/>
      <c r="G297" s="142" t="s">
        <v>306</v>
      </c>
      <c r="H297" s="46"/>
    </row>
    <row r="298" spans="1:8" x14ac:dyDescent="0.3">
      <c r="A298" s="14"/>
      <c r="B298" s="18"/>
      <c r="C298" s="22"/>
      <c r="D298" s="23"/>
      <c r="E298" s="23"/>
      <c r="F298" s="23"/>
      <c r="G298" s="49" t="s">
        <v>356</v>
      </c>
      <c r="H298" s="50">
        <f>20*15*2</f>
        <v>600</v>
      </c>
    </row>
    <row r="299" spans="1:8" x14ac:dyDescent="0.3">
      <c r="A299" s="14"/>
      <c r="B299" s="18"/>
      <c r="C299" s="22"/>
      <c r="D299" s="23"/>
      <c r="E299" s="23"/>
      <c r="F299" s="23"/>
      <c r="G299" s="49" t="s">
        <v>357</v>
      </c>
      <c r="H299" s="50">
        <f>5*20*15</f>
        <v>1500</v>
      </c>
    </row>
    <row r="300" spans="1:8" x14ac:dyDescent="0.3">
      <c r="A300" s="14"/>
      <c r="B300" s="18"/>
      <c r="C300" s="22"/>
      <c r="D300" s="23"/>
      <c r="E300" s="23"/>
      <c r="F300" s="23"/>
      <c r="G300" s="49" t="s">
        <v>358</v>
      </c>
      <c r="H300" s="50">
        <f>5*50*15</f>
        <v>3750</v>
      </c>
    </row>
    <row r="301" spans="1:8" x14ac:dyDescent="0.3">
      <c r="A301" s="14"/>
      <c r="B301" s="18"/>
      <c r="C301" s="22"/>
      <c r="D301" s="23"/>
      <c r="E301" s="23"/>
      <c r="F301" s="23"/>
      <c r="G301" s="49" t="s">
        <v>421</v>
      </c>
      <c r="H301" s="50">
        <f>5*20*15</f>
        <v>1500</v>
      </c>
    </row>
    <row r="302" spans="1:8" x14ac:dyDescent="0.3">
      <c r="A302" s="14"/>
      <c r="B302" s="18"/>
      <c r="C302" s="22"/>
      <c r="D302" s="23"/>
      <c r="E302" s="23"/>
      <c r="F302" s="23"/>
      <c r="G302" s="166" t="s">
        <v>309</v>
      </c>
      <c r="H302" s="50"/>
    </row>
    <row r="303" spans="1:8" x14ac:dyDescent="0.3">
      <c r="A303" s="14"/>
      <c r="B303" s="18"/>
      <c r="C303" s="22"/>
      <c r="D303" s="23"/>
      <c r="E303" s="23"/>
      <c r="F303" s="23"/>
      <c r="G303" s="49" t="s">
        <v>359</v>
      </c>
      <c r="H303" s="50">
        <f>100*10*2</f>
        <v>2000</v>
      </c>
    </row>
    <row r="304" spans="1:8" x14ac:dyDescent="0.3">
      <c r="A304" s="14"/>
      <c r="B304" s="18"/>
      <c r="C304" s="22"/>
      <c r="D304" s="23"/>
      <c r="E304" s="23"/>
      <c r="F304" s="23"/>
      <c r="G304" s="164" t="s">
        <v>420</v>
      </c>
      <c r="H304" s="165">
        <f>100*12*2</f>
        <v>2400</v>
      </c>
    </row>
    <row r="305" spans="1:8" x14ac:dyDescent="0.3">
      <c r="A305" s="14"/>
      <c r="B305" s="18"/>
      <c r="C305" s="22"/>
      <c r="D305" s="23"/>
      <c r="E305" s="23"/>
      <c r="F305" s="23"/>
      <c r="G305" s="140" t="s">
        <v>302</v>
      </c>
      <c r="H305" s="141">
        <f>SUM(H296:H304)</f>
        <v>11750</v>
      </c>
    </row>
    <row r="306" spans="1:8" x14ac:dyDescent="0.3">
      <c r="A306" s="14"/>
      <c r="B306" s="18"/>
      <c r="C306" s="22"/>
      <c r="D306" s="23"/>
      <c r="E306" s="23"/>
      <c r="F306" s="23"/>
      <c r="G306" s="148" t="s">
        <v>360</v>
      </c>
      <c r="H306" s="134"/>
    </row>
    <row r="307" spans="1:8" x14ac:dyDescent="0.3">
      <c r="A307" s="14"/>
      <c r="B307" s="18"/>
      <c r="C307" s="22"/>
      <c r="D307" s="23"/>
      <c r="E307" s="23"/>
      <c r="F307" s="23"/>
      <c r="G307" s="142" t="s">
        <v>337</v>
      </c>
      <c r="H307" s="46"/>
    </row>
    <row r="308" spans="1:8" x14ac:dyDescent="0.3">
      <c r="A308" s="14"/>
      <c r="B308" s="18"/>
      <c r="C308" s="22"/>
      <c r="D308" s="23"/>
      <c r="E308" s="23"/>
      <c r="F308" s="23"/>
      <c r="G308" s="149" t="s">
        <v>361</v>
      </c>
      <c r="H308" s="48">
        <f>170000</f>
        <v>170000</v>
      </c>
    </row>
    <row r="309" spans="1:8" x14ac:dyDescent="0.3">
      <c r="A309" s="14"/>
      <c r="B309" s="18"/>
      <c r="C309" s="22"/>
      <c r="D309" s="23"/>
      <c r="E309" s="23"/>
      <c r="F309" s="23"/>
      <c r="G309" s="140" t="s">
        <v>302</v>
      </c>
      <c r="H309" s="141">
        <f>SUM(H306:H308)</f>
        <v>170000</v>
      </c>
    </row>
    <row r="310" spans="1:8" x14ac:dyDescent="0.3">
      <c r="A310" s="14"/>
      <c r="B310" s="18"/>
      <c r="C310" s="22"/>
      <c r="D310" s="23"/>
      <c r="E310" s="23"/>
      <c r="F310" s="23"/>
      <c r="G310" s="148" t="s">
        <v>362</v>
      </c>
      <c r="H310" s="134"/>
    </row>
    <row r="311" spans="1:8" x14ac:dyDescent="0.3">
      <c r="A311" s="14"/>
      <c r="B311" s="18"/>
      <c r="C311" s="22"/>
      <c r="D311" s="23"/>
      <c r="E311" s="23"/>
      <c r="F311" s="23"/>
      <c r="G311" s="142" t="s">
        <v>337</v>
      </c>
      <c r="H311" s="46"/>
    </row>
    <row r="312" spans="1:8" x14ac:dyDescent="0.3">
      <c r="A312" s="14"/>
      <c r="B312" s="18"/>
      <c r="C312" s="22"/>
      <c r="D312" s="23"/>
      <c r="E312" s="23"/>
      <c r="F312" s="23"/>
      <c r="G312" s="45" t="s">
        <v>363</v>
      </c>
      <c r="H312" s="46">
        <f>25*550</f>
        <v>13750</v>
      </c>
    </row>
    <row r="313" spans="1:8" x14ac:dyDescent="0.3">
      <c r="A313" s="14"/>
      <c r="B313" s="18"/>
      <c r="C313" s="22"/>
      <c r="D313" s="23"/>
      <c r="E313" s="23"/>
      <c r="F313" s="23"/>
      <c r="G313" s="47" t="s">
        <v>364</v>
      </c>
      <c r="H313" s="48">
        <f>6000*2</f>
        <v>12000</v>
      </c>
    </row>
    <row r="314" spans="1:8" x14ac:dyDescent="0.3">
      <c r="A314" s="14"/>
      <c r="B314" s="18"/>
      <c r="C314" s="22"/>
      <c r="D314" s="23"/>
      <c r="E314" s="23"/>
      <c r="F314" s="23"/>
      <c r="G314" s="140" t="s">
        <v>302</v>
      </c>
      <c r="H314" s="141">
        <f>SUM(H312:H313)</f>
        <v>25750</v>
      </c>
    </row>
    <row r="315" spans="1:8" x14ac:dyDescent="0.3">
      <c r="A315" s="14"/>
      <c r="B315" s="18"/>
      <c r="C315" s="22"/>
      <c r="D315" s="23"/>
      <c r="E315" s="23"/>
      <c r="F315" s="23"/>
      <c r="G315" s="148" t="s">
        <v>365</v>
      </c>
      <c r="H315" s="134"/>
    </row>
    <row r="316" spans="1:8" x14ac:dyDescent="0.3">
      <c r="A316" s="14"/>
      <c r="B316" s="18"/>
      <c r="C316" s="22"/>
      <c r="D316" s="23"/>
      <c r="E316" s="23"/>
      <c r="F316" s="23"/>
      <c r="G316" s="142" t="s">
        <v>306</v>
      </c>
      <c r="H316" s="46"/>
    </row>
    <row r="317" spans="1:8" ht="24" x14ac:dyDescent="0.3">
      <c r="A317" s="14"/>
      <c r="B317" s="18"/>
      <c r="C317" s="22"/>
      <c r="D317" s="23"/>
      <c r="E317" s="23"/>
      <c r="F317" s="23"/>
      <c r="G317" s="45" t="s">
        <v>438</v>
      </c>
      <c r="H317" s="46">
        <v>20000</v>
      </c>
    </row>
    <row r="318" spans="1:8" x14ac:dyDescent="0.3">
      <c r="A318" s="14"/>
      <c r="B318" s="18"/>
      <c r="C318" s="22"/>
      <c r="D318" s="23"/>
      <c r="E318" s="23"/>
      <c r="F318" s="23"/>
      <c r="G318" s="49" t="s">
        <v>366</v>
      </c>
      <c r="H318" s="50">
        <f>50*4</f>
        <v>200</v>
      </c>
    </row>
    <row r="319" spans="1:8" x14ac:dyDescent="0.3">
      <c r="A319" s="14"/>
      <c r="B319" s="18"/>
      <c r="C319" s="22"/>
      <c r="D319" s="23"/>
      <c r="E319" s="23"/>
      <c r="F319" s="23"/>
      <c r="G319" s="142" t="s">
        <v>309</v>
      </c>
      <c r="H319" s="46"/>
    </row>
    <row r="320" spans="1:8" x14ac:dyDescent="0.3">
      <c r="A320" s="14"/>
      <c r="B320" s="18"/>
      <c r="C320" s="22"/>
      <c r="D320" s="23"/>
      <c r="E320" s="23"/>
      <c r="F320" s="23"/>
      <c r="G320" s="45" t="s">
        <v>439</v>
      </c>
      <c r="H320" s="46">
        <v>19037</v>
      </c>
    </row>
    <row r="321" spans="1:8" x14ac:dyDescent="0.3">
      <c r="A321" s="14"/>
      <c r="B321" s="18"/>
      <c r="C321" s="22"/>
      <c r="D321" s="23"/>
      <c r="E321" s="23"/>
      <c r="F321" s="23"/>
      <c r="G321" s="45" t="s">
        <v>367</v>
      </c>
      <c r="H321" s="46">
        <f>1500*2</f>
        <v>3000</v>
      </c>
    </row>
    <row r="322" spans="1:8" x14ac:dyDescent="0.3">
      <c r="A322" s="14"/>
      <c r="B322" s="18"/>
      <c r="C322" s="22"/>
      <c r="D322" s="23"/>
      <c r="E322" s="23"/>
      <c r="F322" s="23"/>
      <c r="G322" s="51" t="s">
        <v>368</v>
      </c>
      <c r="H322" s="46">
        <f>2000*2</f>
        <v>4000</v>
      </c>
    </row>
    <row r="323" spans="1:8" x14ac:dyDescent="0.3">
      <c r="A323" s="14"/>
      <c r="B323" s="18"/>
      <c r="C323" s="22"/>
      <c r="D323" s="23"/>
      <c r="E323" s="23"/>
      <c r="F323" s="23"/>
      <c r="G323" s="142" t="s">
        <v>369</v>
      </c>
      <c r="H323" s="46"/>
    </row>
    <row r="324" spans="1:8" x14ac:dyDescent="0.3">
      <c r="A324" s="14"/>
      <c r="B324" s="18"/>
      <c r="C324" s="22"/>
      <c r="D324" s="23"/>
      <c r="E324" s="23"/>
      <c r="F324" s="23"/>
      <c r="G324" s="47" t="s">
        <v>370</v>
      </c>
      <c r="H324" s="48">
        <v>4824</v>
      </c>
    </row>
    <row r="325" spans="1:8" x14ac:dyDescent="0.3">
      <c r="A325" s="14"/>
      <c r="B325" s="18"/>
      <c r="C325" s="25"/>
      <c r="D325" s="26"/>
      <c r="E325" s="26"/>
      <c r="F325" s="26"/>
      <c r="G325" s="140" t="s">
        <v>302</v>
      </c>
      <c r="H325" s="141">
        <f>SUM(H315:H324)</f>
        <v>51061</v>
      </c>
    </row>
    <row r="326" spans="1:8" x14ac:dyDescent="0.3">
      <c r="A326" s="14"/>
      <c r="B326" s="27" t="s">
        <v>39</v>
      </c>
      <c r="C326" s="28"/>
      <c r="D326" s="29">
        <f>SUM(D327)</f>
        <v>48210</v>
      </c>
      <c r="E326" s="29">
        <f>E327</f>
        <v>48210</v>
      </c>
      <c r="F326" s="29">
        <f>D326-E326</f>
        <v>0</v>
      </c>
      <c r="G326" s="138"/>
      <c r="H326" s="139"/>
    </row>
    <row r="327" spans="1:8" x14ac:dyDescent="0.3">
      <c r="A327" s="14"/>
      <c r="B327" s="18"/>
      <c r="C327" s="19" t="s">
        <v>39</v>
      </c>
      <c r="D327" s="20">
        <f>H346+H358</f>
        <v>48210</v>
      </c>
      <c r="E327" s="20">
        <v>48210</v>
      </c>
      <c r="F327" s="20">
        <f>D327-E327</f>
        <v>0</v>
      </c>
      <c r="G327" s="133" t="s">
        <v>371</v>
      </c>
      <c r="H327" s="134"/>
    </row>
    <row r="328" spans="1:8" x14ac:dyDescent="0.3">
      <c r="A328" s="14"/>
      <c r="B328" s="18"/>
      <c r="C328" s="22"/>
      <c r="D328" s="23"/>
      <c r="E328" s="23"/>
      <c r="F328" s="23"/>
      <c r="G328" s="142" t="s">
        <v>304</v>
      </c>
      <c r="H328" s="46"/>
    </row>
    <row r="329" spans="1:8" x14ac:dyDescent="0.3">
      <c r="A329" s="14"/>
      <c r="B329" s="18"/>
      <c r="C329" s="22"/>
      <c r="D329" s="23"/>
      <c r="E329" s="23"/>
      <c r="F329" s="23"/>
      <c r="G329" s="45" t="s">
        <v>372</v>
      </c>
      <c r="H329" s="46">
        <f>35*13*4</f>
        <v>1820</v>
      </c>
    </row>
    <row r="330" spans="1:8" x14ac:dyDescent="0.3">
      <c r="A330" s="14"/>
      <c r="B330" s="18"/>
      <c r="C330" s="22"/>
      <c r="D330" s="23"/>
      <c r="E330" s="23"/>
      <c r="F330" s="23"/>
      <c r="G330" s="45" t="s">
        <v>373</v>
      </c>
      <c r="H330" s="46">
        <f>35*13*2</f>
        <v>910</v>
      </c>
    </row>
    <row r="331" spans="1:8" x14ac:dyDescent="0.3">
      <c r="A331" s="14"/>
      <c r="B331" s="18"/>
      <c r="C331" s="22"/>
      <c r="D331" s="23"/>
      <c r="E331" s="23"/>
      <c r="F331" s="23"/>
      <c r="G331" s="142" t="s">
        <v>306</v>
      </c>
      <c r="H331" s="46"/>
    </row>
    <row r="332" spans="1:8" ht="15.75" customHeight="1" x14ac:dyDescent="0.3">
      <c r="A332" s="14"/>
      <c r="B332" s="18"/>
      <c r="C332" s="22"/>
      <c r="D332" s="23"/>
      <c r="E332" s="23"/>
      <c r="F332" s="23"/>
      <c r="G332" s="49" t="s">
        <v>374</v>
      </c>
      <c r="H332" s="50">
        <f>35*30*4</f>
        <v>4200</v>
      </c>
    </row>
    <row r="333" spans="1:8" ht="15.75" customHeight="1" x14ac:dyDescent="0.3">
      <c r="A333" s="14"/>
      <c r="B333" s="18"/>
      <c r="C333" s="22"/>
      <c r="D333" s="23"/>
      <c r="E333" s="23"/>
      <c r="F333" s="23"/>
      <c r="G333" s="49" t="s">
        <v>375</v>
      </c>
      <c r="H333" s="50">
        <f>35*20*2</f>
        <v>1400</v>
      </c>
    </row>
    <row r="334" spans="1:8" x14ac:dyDescent="0.3">
      <c r="A334" s="14"/>
      <c r="B334" s="18"/>
      <c r="C334" s="22"/>
      <c r="D334" s="23"/>
      <c r="E334" s="23"/>
      <c r="F334" s="23"/>
      <c r="G334" s="142" t="s">
        <v>309</v>
      </c>
      <c r="H334" s="46"/>
    </row>
    <row r="335" spans="1:8" x14ac:dyDescent="0.3">
      <c r="A335" s="14"/>
      <c r="B335" s="18"/>
      <c r="C335" s="22"/>
      <c r="D335" s="23"/>
      <c r="E335" s="23"/>
      <c r="F335" s="23"/>
      <c r="G335" s="45" t="s">
        <v>374</v>
      </c>
      <c r="H335" s="46">
        <f>35*30*4</f>
        <v>4200</v>
      </c>
    </row>
    <row r="336" spans="1:8" x14ac:dyDescent="0.3">
      <c r="A336" s="14"/>
      <c r="B336" s="18"/>
      <c r="C336" s="22"/>
      <c r="D336" s="23"/>
      <c r="E336" s="23"/>
      <c r="F336" s="23"/>
      <c r="G336" s="142" t="s">
        <v>337</v>
      </c>
      <c r="H336" s="46"/>
    </row>
    <row r="337" spans="1:8" x14ac:dyDescent="0.3">
      <c r="A337" s="14"/>
      <c r="B337" s="18"/>
      <c r="C337" s="22"/>
      <c r="D337" s="23"/>
      <c r="E337" s="23"/>
      <c r="F337" s="23"/>
      <c r="G337" s="45" t="s">
        <v>376</v>
      </c>
      <c r="H337" s="46">
        <f>35*10*4</f>
        <v>1400</v>
      </c>
    </row>
    <row r="338" spans="1:8" x14ac:dyDescent="0.3">
      <c r="A338" s="14"/>
      <c r="B338" s="18"/>
      <c r="C338" s="22"/>
      <c r="D338" s="23"/>
      <c r="E338" s="23"/>
      <c r="F338" s="23"/>
      <c r="G338" s="45" t="s">
        <v>377</v>
      </c>
      <c r="H338" s="46">
        <f>35*25*3*2</f>
        <v>5250</v>
      </c>
    </row>
    <row r="339" spans="1:8" x14ac:dyDescent="0.3">
      <c r="A339" s="14"/>
      <c r="B339" s="18"/>
      <c r="C339" s="22"/>
      <c r="D339" s="23"/>
      <c r="E339" s="23"/>
      <c r="F339" s="23"/>
      <c r="G339" s="45" t="s">
        <v>378</v>
      </c>
      <c r="H339" s="46">
        <f>35*80*2</f>
        <v>5600</v>
      </c>
    </row>
    <row r="340" spans="1:8" x14ac:dyDescent="0.3">
      <c r="A340" s="14"/>
      <c r="B340" s="18"/>
      <c r="C340" s="22"/>
      <c r="D340" s="23"/>
      <c r="E340" s="23"/>
      <c r="F340" s="23"/>
      <c r="G340" s="45" t="s">
        <v>379</v>
      </c>
      <c r="H340" s="46">
        <f>35*15*4</f>
        <v>2100</v>
      </c>
    </row>
    <row r="341" spans="1:8" x14ac:dyDescent="0.3">
      <c r="A341" s="14"/>
      <c r="B341" s="18"/>
      <c r="C341" s="22"/>
      <c r="D341" s="23"/>
      <c r="E341" s="23"/>
      <c r="F341" s="23"/>
      <c r="G341" s="45" t="s">
        <v>380</v>
      </c>
      <c r="H341" s="46">
        <f>35*15*8</f>
        <v>4200</v>
      </c>
    </row>
    <row r="342" spans="1:8" x14ac:dyDescent="0.3">
      <c r="A342" s="14"/>
      <c r="B342" s="18"/>
      <c r="C342" s="22"/>
      <c r="D342" s="23"/>
      <c r="E342" s="23"/>
      <c r="F342" s="23"/>
      <c r="G342" s="45" t="s">
        <v>381</v>
      </c>
      <c r="H342" s="46">
        <f>35*12*2</f>
        <v>840</v>
      </c>
    </row>
    <row r="343" spans="1:8" x14ac:dyDescent="0.3">
      <c r="A343" s="14"/>
      <c r="B343" s="18"/>
      <c r="C343" s="22"/>
      <c r="D343" s="23"/>
      <c r="E343" s="23"/>
      <c r="F343" s="23"/>
      <c r="G343" s="45" t="s">
        <v>382</v>
      </c>
      <c r="H343" s="46">
        <f>500*5</f>
        <v>2500</v>
      </c>
    </row>
    <row r="344" spans="1:8" x14ac:dyDescent="0.3">
      <c r="A344" s="14"/>
      <c r="B344" s="18"/>
      <c r="C344" s="22"/>
      <c r="D344" s="23"/>
      <c r="E344" s="23"/>
      <c r="F344" s="23"/>
      <c r="G344" s="45" t="s">
        <v>126</v>
      </c>
      <c r="H344" s="46">
        <f>30*30*4</f>
        <v>3600</v>
      </c>
    </row>
    <row r="345" spans="1:8" x14ac:dyDescent="0.3">
      <c r="A345" s="14"/>
      <c r="B345" s="18"/>
      <c r="C345" s="22"/>
      <c r="D345" s="23"/>
      <c r="E345" s="23"/>
      <c r="F345" s="23"/>
      <c r="G345" s="164" t="s">
        <v>422</v>
      </c>
      <c r="H345" s="165">
        <f>10*16*4</f>
        <v>640</v>
      </c>
    </row>
    <row r="346" spans="1:8" x14ac:dyDescent="0.3">
      <c r="A346" s="14"/>
      <c r="B346" s="18"/>
      <c r="C346" s="22"/>
      <c r="D346" s="23"/>
      <c r="E346" s="23"/>
      <c r="F346" s="23"/>
      <c r="G346" s="140" t="s">
        <v>302</v>
      </c>
      <c r="H346" s="141">
        <f>SUM(H327:H345)</f>
        <v>38660</v>
      </c>
    </row>
    <row r="347" spans="1:8" x14ac:dyDescent="0.3">
      <c r="A347" s="14"/>
      <c r="B347" s="18"/>
      <c r="C347" s="22"/>
      <c r="D347" s="23"/>
      <c r="E347" s="23"/>
      <c r="F347" s="23"/>
      <c r="G347" s="133" t="s">
        <v>383</v>
      </c>
      <c r="H347" s="134"/>
    </row>
    <row r="348" spans="1:8" x14ac:dyDescent="0.3">
      <c r="A348" s="14"/>
      <c r="B348" s="18"/>
      <c r="C348" s="22"/>
      <c r="D348" s="23"/>
      <c r="E348" s="23"/>
      <c r="F348" s="23"/>
      <c r="G348" s="142" t="s">
        <v>304</v>
      </c>
      <c r="H348" s="46"/>
    </row>
    <row r="349" spans="1:8" x14ac:dyDescent="0.3">
      <c r="A349" s="14"/>
      <c r="B349" s="18"/>
      <c r="C349" s="22"/>
      <c r="D349" s="23"/>
      <c r="E349" s="23"/>
      <c r="F349" s="23"/>
      <c r="G349" s="45" t="s">
        <v>384</v>
      </c>
      <c r="H349" s="46">
        <f>35*11*2</f>
        <v>770</v>
      </c>
    </row>
    <row r="350" spans="1:8" x14ac:dyDescent="0.3">
      <c r="A350" s="14"/>
      <c r="B350" s="18"/>
      <c r="C350" s="22"/>
      <c r="D350" s="23"/>
      <c r="E350" s="23"/>
      <c r="F350" s="23"/>
      <c r="G350" s="142" t="s">
        <v>306</v>
      </c>
      <c r="H350" s="46"/>
    </row>
    <row r="351" spans="1:8" x14ac:dyDescent="0.3">
      <c r="A351" s="14"/>
      <c r="B351" s="18"/>
      <c r="C351" s="22"/>
      <c r="D351" s="23"/>
      <c r="E351" s="23"/>
      <c r="F351" s="23"/>
      <c r="G351" s="49" t="s">
        <v>385</v>
      </c>
      <c r="H351" s="50">
        <f>35*30*2</f>
        <v>2100</v>
      </c>
    </row>
    <row r="352" spans="1:8" x14ac:dyDescent="0.3">
      <c r="A352" s="14"/>
      <c r="B352" s="18"/>
      <c r="C352" s="22"/>
      <c r="D352" s="23"/>
      <c r="E352" s="23"/>
      <c r="F352" s="23"/>
      <c r="G352" s="171" t="s">
        <v>265</v>
      </c>
      <c r="H352" s="24"/>
    </row>
    <row r="353" spans="1:12" x14ac:dyDescent="0.3">
      <c r="A353" s="14"/>
      <c r="B353" s="18"/>
      <c r="C353" s="22"/>
      <c r="D353" s="23"/>
      <c r="E353" s="23"/>
      <c r="F353" s="23"/>
      <c r="G353" s="88" t="s">
        <v>445</v>
      </c>
      <c r="H353" s="24">
        <f>35*30*3+350</f>
        <v>3500</v>
      </c>
    </row>
    <row r="354" spans="1:12" x14ac:dyDescent="0.3">
      <c r="A354" s="14"/>
      <c r="B354" s="18"/>
      <c r="C354" s="22"/>
      <c r="D354" s="23"/>
      <c r="E354" s="23"/>
      <c r="F354" s="52"/>
      <c r="G354" s="172" t="s">
        <v>426</v>
      </c>
      <c r="H354" s="24">
        <f>35*8*2</f>
        <v>560</v>
      </c>
    </row>
    <row r="355" spans="1:12" x14ac:dyDescent="0.3">
      <c r="A355" s="14"/>
      <c r="B355" s="18"/>
      <c r="C355" s="22"/>
      <c r="D355" s="23"/>
      <c r="E355" s="23"/>
      <c r="F355" s="23"/>
      <c r="G355" s="172" t="s">
        <v>447</v>
      </c>
      <c r="H355" s="173">
        <f>35*6*3+170</f>
        <v>800</v>
      </c>
    </row>
    <row r="356" spans="1:12" x14ac:dyDescent="0.3">
      <c r="A356" s="14"/>
      <c r="B356" s="18"/>
      <c r="C356" s="22"/>
      <c r="D356" s="23"/>
      <c r="E356" s="23"/>
      <c r="F356" s="23"/>
      <c r="G356" s="142" t="s">
        <v>337</v>
      </c>
      <c r="H356" s="46"/>
    </row>
    <row r="357" spans="1:12" x14ac:dyDescent="0.3">
      <c r="A357" s="14"/>
      <c r="B357" s="18"/>
      <c r="C357" s="22"/>
      <c r="D357" s="23"/>
      <c r="E357" s="23"/>
      <c r="F357" s="23"/>
      <c r="G357" s="45" t="s">
        <v>386</v>
      </c>
      <c r="H357" s="48">
        <f>35*26*2</f>
        <v>1820</v>
      </c>
    </row>
    <row r="358" spans="1:12" x14ac:dyDescent="0.3">
      <c r="A358" s="14"/>
      <c r="B358" s="18"/>
      <c r="C358" s="22"/>
      <c r="D358" s="23"/>
      <c r="E358" s="23"/>
      <c r="F358" s="23"/>
      <c r="G358" s="140" t="s">
        <v>302</v>
      </c>
      <c r="H358" s="141">
        <f>SUM(H347:H357)</f>
        <v>9550</v>
      </c>
    </row>
    <row r="359" spans="1:12" x14ac:dyDescent="0.3">
      <c r="A359" s="10" t="s">
        <v>442</v>
      </c>
      <c r="B359" s="11"/>
      <c r="C359" s="12"/>
      <c r="D359" s="163">
        <f>D360</f>
        <v>108500</v>
      </c>
      <c r="E359" s="13">
        <f>E360</f>
        <v>108500</v>
      </c>
      <c r="F359" s="13">
        <f>D359-E359</f>
        <v>0</v>
      </c>
      <c r="G359" s="129"/>
      <c r="H359" s="146"/>
    </row>
    <row r="360" spans="1:12" x14ac:dyDescent="0.3">
      <c r="A360" s="14"/>
      <c r="B360" s="27" t="s">
        <v>41</v>
      </c>
      <c r="C360" s="28"/>
      <c r="D360" s="29">
        <f>SUM(D361:D371)</f>
        <v>108500</v>
      </c>
      <c r="E360" s="29">
        <f>SUM(E361:E371)</f>
        <v>108500</v>
      </c>
      <c r="F360" s="29">
        <f>D360-E360</f>
        <v>0</v>
      </c>
      <c r="G360" s="138"/>
      <c r="H360" s="139"/>
      <c r="J360" s="169"/>
      <c r="L360" s="169"/>
    </row>
    <row r="361" spans="1:12" x14ac:dyDescent="0.3">
      <c r="A361" s="14"/>
      <c r="B361" s="18"/>
      <c r="C361" s="19" t="s">
        <v>41</v>
      </c>
      <c r="D361" s="20">
        <f>H370</f>
        <v>86700</v>
      </c>
      <c r="E361" s="20">
        <v>86700</v>
      </c>
      <c r="F361" s="20">
        <f>D361-E361</f>
        <v>0</v>
      </c>
      <c r="G361" s="133" t="s">
        <v>304</v>
      </c>
      <c r="H361" s="134"/>
    </row>
    <row r="362" spans="1:12" x14ac:dyDescent="0.3">
      <c r="A362" s="14"/>
      <c r="B362" s="18"/>
      <c r="C362" s="22"/>
      <c r="D362" s="23"/>
      <c r="E362" s="23"/>
      <c r="F362" s="23"/>
      <c r="G362" s="142" t="s">
        <v>337</v>
      </c>
      <c r="H362" s="46"/>
    </row>
    <row r="363" spans="1:12" x14ac:dyDescent="0.3">
      <c r="A363" s="14"/>
      <c r="B363" s="18"/>
      <c r="C363" s="22"/>
      <c r="D363" s="23"/>
      <c r="E363" s="23"/>
      <c r="F363" s="23"/>
      <c r="G363" s="45" t="s">
        <v>387</v>
      </c>
      <c r="H363" s="46">
        <f>1200*15</f>
        <v>18000</v>
      </c>
    </row>
    <row r="364" spans="1:12" s="89" customFormat="1" x14ac:dyDescent="0.3">
      <c r="A364" s="14"/>
      <c r="B364" s="18"/>
      <c r="C364" s="22"/>
      <c r="D364" s="23"/>
      <c r="E364" s="23"/>
      <c r="F364" s="23"/>
      <c r="G364" s="45" t="s">
        <v>388</v>
      </c>
      <c r="H364" s="46">
        <f>800*2</f>
        <v>1600</v>
      </c>
    </row>
    <row r="365" spans="1:12" s="89" customFormat="1" x14ac:dyDescent="0.3">
      <c r="A365" s="14"/>
      <c r="B365" s="18"/>
      <c r="C365" s="22"/>
      <c r="D365" s="23"/>
      <c r="E365" s="23"/>
      <c r="F365" s="23"/>
      <c r="G365" s="45" t="s">
        <v>389</v>
      </c>
      <c r="H365" s="46">
        <f>4000*10</f>
        <v>40000</v>
      </c>
    </row>
    <row r="366" spans="1:12" s="89" customFormat="1" x14ac:dyDescent="0.3">
      <c r="A366" s="14"/>
      <c r="B366" s="18"/>
      <c r="C366" s="22"/>
      <c r="D366" s="23"/>
      <c r="E366" s="23"/>
      <c r="F366" s="23"/>
      <c r="G366" s="45" t="s">
        <v>390</v>
      </c>
      <c r="H366" s="46">
        <f>2000*8</f>
        <v>16000</v>
      </c>
    </row>
    <row r="367" spans="1:12" s="89" customFormat="1" x14ac:dyDescent="0.3">
      <c r="A367" s="14"/>
      <c r="B367" s="18"/>
      <c r="C367" s="22"/>
      <c r="D367" s="23"/>
      <c r="E367" s="23"/>
      <c r="F367" s="23"/>
      <c r="G367" s="45" t="s">
        <v>391</v>
      </c>
      <c r="H367" s="46">
        <f>200*10</f>
        <v>2000</v>
      </c>
    </row>
    <row r="368" spans="1:12" s="89" customFormat="1" x14ac:dyDescent="0.3">
      <c r="A368" s="14"/>
      <c r="B368" s="18"/>
      <c r="C368" s="22"/>
      <c r="D368" s="23"/>
      <c r="E368" s="23"/>
      <c r="F368" s="23"/>
      <c r="G368" s="45" t="s">
        <v>392</v>
      </c>
      <c r="H368" s="46">
        <f>1000*8</f>
        <v>8000</v>
      </c>
    </row>
    <row r="369" spans="1:8" x14ac:dyDescent="0.3">
      <c r="A369" s="14"/>
      <c r="B369" s="18"/>
      <c r="C369" s="22"/>
      <c r="D369" s="23"/>
      <c r="E369" s="23"/>
      <c r="F369" s="23"/>
      <c r="G369" s="47" t="s">
        <v>393</v>
      </c>
      <c r="H369" s="48">
        <f>1100</f>
        <v>1100</v>
      </c>
    </row>
    <row r="370" spans="1:8" x14ac:dyDescent="0.3">
      <c r="A370" s="14"/>
      <c r="B370" s="18"/>
      <c r="C370" s="22"/>
      <c r="D370" s="23"/>
      <c r="E370" s="23"/>
      <c r="F370" s="23"/>
      <c r="G370" s="140" t="s">
        <v>302</v>
      </c>
      <c r="H370" s="141">
        <f>SUM(H361:H369)</f>
        <v>86700</v>
      </c>
    </row>
    <row r="371" spans="1:8" x14ac:dyDescent="0.3">
      <c r="A371" s="14"/>
      <c r="B371" s="18"/>
      <c r="C371" s="22" t="s">
        <v>42</v>
      </c>
      <c r="D371" s="23">
        <f>H375</f>
        <v>21800</v>
      </c>
      <c r="E371" s="23">
        <v>21800</v>
      </c>
      <c r="F371" s="23">
        <f>D371-E371</f>
        <v>0</v>
      </c>
      <c r="G371" s="133" t="s">
        <v>337</v>
      </c>
      <c r="H371" s="134"/>
    </row>
    <row r="372" spans="1:8" x14ac:dyDescent="0.3">
      <c r="A372" s="14"/>
      <c r="B372" s="18"/>
      <c r="C372" s="22"/>
      <c r="D372" s="23"/>
      <c r="E372" s="23"/>
      <c r="F372" s="23"/>
      <c r="G372" s="45" t="s">
        <v>394</v>
      </c>
      <c r="H372" s="46">
        <f>15*700*2</f>
        <v>21000</v>
      </c>
    </row>
    <row r="373" spans="1:8" x14ac:dyDescent="0.3">
      <c r="A373" s="14"/>
      <c r="B373" s="18"/>
      <c r="C373" s="22"/>
      <c r="D373" s="23"/>
      <c r="E373" s="23"/>
      <c r="F373" s="23"/>
      <c r="G373" s="45" t="s">
        <v>395</v>
      </c>
      <c r="H373" s="46">
        <f>20*10*2</f>
        <v>400</v>
      </c>
    </row>
    <row r="374" spans="1:8" x14ac:dyDescent="0.3">
      <c r="A374" s="14"/>
      <c r="B374" s="18"/>
      <c r="C374" s="22"/>
      <c r="D374" s="23"/>
      <c r="E374" s="23"/>
      <c r="F374" s="23"/>
      <c r="G374" s="47" t="s">
        <v>43</v>
      </c>
      <c r="H374" s="48">
        <f>20*10*2</f>
        <v>400</v>
      </c>
    </row>
    <row r="375" spans="1:8" x14ac:dyDescent="0.3">
      <c r="A375" s="14"/>
      <c r="B375" s="18"/>
      <c r="C375" s="25"/>
      <c r="D375" s="26"/>
      <c r="E375" s="26"/>
      <c r="F375" s="26"/>
      <c r="G375" s="140" t="s">
        <v>302</v>
      </c>
      <c r="H375" s="141">
        <f>SUM(H372:H374)</f>
        <v>21800</v>
      </c>
    </row>
    <row r="376" spans="1:8" x14ac:dyDescent="0.3">
      <c r="A376" s="10" t="s">
        <v>40</v>
      </c>
      <c r="B376" s="11"/>
      <c r="C376" s="12"/>
      <c r="D376" s="163">
        <f>SUM(D377,D386)</f>
        <v>587093</v>
      </c>
      <c r="E376" s="13">
        <f>SUM(E377,E386)</f>
        <v>504663</v>
      </c>
      <c r="F376" s="13">
        <f>D376-E376</f>
        <v>82430</v>
      </c>
      <c r="G376" s="129"/>
      <c r="H376" s="146"/>
    </row>
    <row r="377" spans="1:8" x14ac:dyDescent="0.3">
      <c r="A377" s="14"/>
      <c r="B377" s="27" t="s">
        <v>44</v>
      </c>
      <c r="C377" s="28"/>
      <c r="D377" s="29">
        <f>SUM(D378:D381)</f>
        <v>587093</v>
      </c>
      <c r="E377" s="29">
        <f>SUM(E378:E381)</f>
        <v>504663</v>
      </c>
      <c r="F377" s="29">
        <f>D377-E377</f>
        <v>82430</v>
      </c>
      <c r="G377" s="138"/>
      <c r="H377" s="139"/>
    </row>
    <row r="378" spans="1:8" x14ac:dyDescent="0.3">
      <c r="A378" s="14"/>
      <c r="B378" s="18"/>
      <c r="C378" s="19" t="s">
        <v>40</v>
      </c>
      <c r="D378" s="20">
        <f>H379</f>
        <v>267090</v>
      </c>
      <c r="E378" s="20">
        <v>184660</v>
      </c>
      <c r="F378" s="20">
        <f>D378-E378</f>
        <v>82430</v>
      </c>
      <c r="G378" s="133" t="s">
        <v>337</v>
      </c>
      <c r="H378" s="134"/>
    </row>
    <row r="379" spans="1:8" ht="24" x14ac:dyDescent="0.3">
      <c r="A379" s="14"/>
      <c r="B379" s="18"/>
      <c r="C379" s="22"/>
      <c r="D379" s="23"/>
      <c r="E379" s="23"/>
      <c r="F379" s="23"/>
      <c r="G379" s="174" t="s">
        <v>458</v>
      </c>
      <c r="H379" s="175">
        <v>267090</v>
      </c>
    </row>
    <row r="380" spans="1:8" x14ac:dyDescent="0.3">
      <c r="A380" s="14"/>
      <c r="B380" s="18"/>
      <c r="C380" s="22"/>
      <c r="D380" s="23"/>
      <c r="E380" s="23"/>
      <c r="F380" s="23"/>
      <c r="G380" s="140" t="s">
        <v>302</v>
      </c>
      <c r="H380" s="141">
        <f>SUM(H379)</f>
        <v>267090</v>
      </c>
    </row>
    <row r="381" spans="1:8" x14ac:dyDescent="0.3">
      <c r="A381" s="14"/>
      <c r="B381" s="18"/>
      <c r="C381" s="22" t="s">
        <v>45</v>
      </c>
      <c r="D381" s="23">
        <f>H385</f>
        <v>320003</v>
      </c>
      <c r="E381" s="23">
        <v>320003</v>
      </c>
      <c r="F381" s="23">
        <f>D381-E381</f>
        <v>0</v>
      </c>
      <c r="G381" s="142" t="s">
        <v>337</v>
      </c>
      <c r="H381" s="46"/>
    </row>
    <row r="382" spans="1:8" x14ac:dyDescent="0.3">
      <c r="A382" s="14"/>
      <c r="B382" s="18"/>
      <c r="C382" s="22"/>
      <c r="D382" s="23"/>
      <c r="E382" s="23"/>
      <c r="F382" s="23"/>
      <c r="G382" s="45" t="s">
        <v>463</v>
      </c>
      <c r="H382" s="46">
        <f>179876</f>
        <v>179876</v>
      </c>
    </row>
    <row r="383" spans="1:8" x14ac:dyDescent="0.3">
      <c r="A383" s="14"/>
      <c r="B383" s="18"/>
      <c r="C383" s="22"/>
      <c r="D383" s="23"/>
      <c r="E383" s="23"/>
      <c r="F383" s="23"/>
      <c r="G383" s="45" t="s">
        <v>441</v>
      </c>
      <c r="H383" s="46">
        <v>30000</v>
      </c>
    </row>
    <row r="384" spans="1:8" x14ac:dyDescent="0.3">
      <c r="A384" s="14"/>
      <c r="B384" s="18"/>
      <c r="C384" s="22"/>
      <c r="D384" s="23"/>
      <c r="E384" s="23"/>
      <c r="F384" s="23"/>
      <c r="G384" s="47" t="s">
        <v>446</v>
      </c>
      <c r="H384" s="48">
        <v>110127</v>
      </c>
    </row>
    <row r="385" spans="1:8" x14ac:dyDescent="0.3">
      <c r="A385" s="14"/>
      <c r="B385" s="18"/>
      <c r="C385" s="25"/>
      <c r="D385" s="26"/>
      <c r="E385" s="26"/>
      <c r="F385" s="26"/>
      <c r="G385" s="140" t="s">
        <v>302</v>
      </c>
      <c r="H385" s="141">
        <f>SUM(H382:H384)</f>
        <v>320003</v>
      </c>
    </row>
    <row r="386" spans="1:8" x14ac:dyDescent="0.3">
      <c r="A386" s="14"/>
      <c r="B386" s="27" t="s">
        <v>46</v>
      </c>
      <c r="C386" s="28"/>
      <c r="D386" s="29">
        <f>SUM(D387)</f>
        <v>0</v>
      </c>
      <c r="E386" s="29">
        <v>0</v>
      </c>
      <c r="F386" s="29"/>
      <c r="G386" s="138"/>
      <c r="H386" s="139"/>
    </row>
    <row r="387" spans="1:8" x14ac:dyDescent="0.3">
      <c r="A387" s="14"/>
      <c r="B387" s="18"/>
      <c r="C387" s="19" t="s">
        <v>47</v>
      </c>
      <c r="D387" s="30"/>
      <c r="E387" s="30"/>
      <c r="F387" s="30"/>
      <c r="G387" s="144"/>
      <c r="H387" s="145"/>
    </row>
    <row r="388" spans="1:8" x14ac:dyDescent="0.3">
      <c r="A388" s="10" t="s">
        <v>48</v>
      </c>
      <c r="B388" s="11"/>
      <c r="C388" s="12"/>
      <c r="D388" s="13">
        <f>SUM(D389)</f>
        <v>974871</v>
      </c>
      <c r="E388" s="13">
        <f>SUM(E389)</f>
        <v>968187</v>
      </c>
      <c r="F388" s="13">
        <f>D388-E388</f>
        <v>6684</v>
      </c>
      <c r="G388" s="129"/>
      <c r="H388" s="146"/>
    </row>
    <row r="389" spans="1:8" x14ac:dyDescent="0.3">
      <c r="A389" s="14"/>
      <c r="B389" s="27" t="s">
        <v>48</v>
      </c>
      <c r="C389" s="28"/>
      <c r="D389" s="29">
        <f>SUM(D390:D426)</f>
        <v>974871</v>
      </c>
      <c r="E389" s="29">
        <f>SUM(E390:E426)</f>
        <v>968187</v>
      </c>
      <c r="F389" s="29">
        <f>D389-E389</f>
        <v>6684</v>
      </c>
      <c r="G389" s="138"/>
      <c r="H389" s="139"/>
    </row>
    <row r="390" spans="1:8" x14ac:dyDescent="0.3">
      <c r="A390" s="14"/>
      <c r="B390" s="18"/>
      <c r="C390" s="19" t="s">
        <v>49</v>
      </c>
      <c r="D390" s="20">
        <f>H409</f>
        <v>693844</v>
      </c>
      <c r="E390" s="20">
        <v>687160</v>
      </c>
      <c r="F390" s="20">
        <f>D390-E390</f>
        <v>6684</v>
      </c>
      <c r="G390" s="133" t="s">
        <v>337</v>
      </c>
      <c r="H390" s="134"/>
    </row>
    <row r="391" spans="1:8" x14ac:dyDescent="0.3">
      <c r="A391" s="14"/>
      <c r="B391" s="18"/>
      <c r="C391" s="22"/>
      <c r="D391" s="23"/>
      <c r="E391" s="23"/>
      <c r="F391" s="23"/>
      <c r="G391" s="84" t="s">
        <v>396</v>
      </c>
      <c r="H391" s="46">
        <f>3900*6*12</f>
        <v>280800</v>
      </c>
    </row>
    <row r="392" spans="1:8" x14ac:dyDescent="0.3">
      <c r="A392" s="14"/>
      <c r="B392" s="18"/>
      <c r="C392" s="22"/>
      <c r="D392" s="23"/>
      <c r="E392" s="23"/>
      <c r="F392" s="23"/>
      <c r="G392" s="84" t="s">
        <v>397</v>
      </c>
      <c r="H392" s="46">
        <f>12*6*20*9*1</f>
        <v>12960</v>
      </c>
    </row>
    <row r="393" spans="1:8" x14ac:dyDescent="0.3">
      <c r="A393" s="14"/>
      <c r="B393" s="18"/>
      <c r="C393" s="22"/>
      <c r="D393" s="23"/>
      <c r="E393" s="23"/>
      <c r="F393" s="23"/>
      <c r="G393" s="84" t="s">
        <v>398</v>
      </c>
      <c r="H393" s="46">
        <f>3550*12</f>
        <v>42600</v>
      </c>
    </row>
    <row r="394" spans="1:8" ht="36" x14ac:dyDescent="0.3">
      <c r="A394" s="14"/>
      <c r="B394" s="18"/>
      <c r="C394" s="22"/>
      <c r="D394" s="23"/>
      <c r="E394" s="23"/>
      <c r="F394" s="23"/>
      <c r="G394" s="176" t="s">
        <v>456</v>
      </c>
      <c r="H394" s="175">
        <v>258963</v>
      </c>
    </row>
    <row r="395" spans="1:8" x14ac:dyDescent="0.3">
      <c r="A395" s="14"/>
      <c r="B395" s="18"/>
      <c r="C395" s="22"/>
      <c r="D395" s="23"/>
      <c r="E395" s="23"/>
      <c r="F395" s="23"/>
      <c r="G395" s="84" t="s">
        <v>399</v>
      </c>
      <c r="H395" s="46">
        <f>2500*9</f>
        <v>22500</v>
      </c>
    </row>
    <row r="396" spans="1:8" x14ac:dyDescent="0.3">
      <c r="A396" s="14"/>
      <c r="B396" s="18"/>
      <c r="C396" s="22"/>
      <c r="D396" s="23"/>
      <c r="E396" s="23"/>
      <c r="F396" s="23"/>
      <c r="G396" s="84" t="s">
        <v>400</v>
      </c>
      <c r="H396" s="46">
        <f>35*6*2</f>
        <v>420</v>
      </c>
    </row>
    <row r="397" spans="1:8" x14ac:dyDescent="0.3">
      <c r="A397" s="14"/>
      <c r="B397" s="18"/>
      <c r="C397" s="22"/>
      <c r="D397" s="23"/>
      <c r="E397" s="23"/>
      <c r="F397" s="23"/>
      <c r="G397" s="84" t="s">
        <v>401</v>
      </c>
      <c r="H397" s="46">
        <f>35*6*4</f>
        <v>840</v>
      </c>
    </row>
    <row r="398" spans="1:8" x14ac:dyDescent="0.3">
      <c r="A398" s="14"/>
      <c r="B398" s="18"/>
      <c r="C398" s="22"/>
      <c r="D398" s="23"/>
      <c r="E398" s="23"/>
      <c r="F398" s="23"/>
      <c r="G398" s="84" t="s">
        <v>402</v>
      </c>
      <c r="H398" s="46">
        <f>1100*12</f>
        <v>13200</v>
      </c>
    </row>
    <row r="399" spans="1:8" x14ac:dyDescent="0.3">
      <c r="A399" s="14"/>
      <c r="B399" s="18"/>
      <c r="C399" s="22"/>
      <c r="D399" s="23"/>
      <c r="E399" s="23"/>
      <c r="F399" s="23"/>
      <c r="G399" s="84" t="s">
        <v>403</v>
      </c>
      <c r="H399" s="46">
        <f>800*12</f>
        <v>9600</v>
      </c>
    </row>
    <row r="400" spans="1:8" x14ac:dyDescent="0.3">
      <c r="A400" s="14"/>
      <c r="B400" s="18"/>
      <c r="C400" s="22"/>
      <c r="D400" s="23"/>
      <c r="E400" s="23"/>
      <c r="F400" s="23"/>
      <c r="G400" s="84" t="s">
        <v>50</v>
      </c>
      <c r="H400" s="46">
        <f>2000</f>
        <v>2000</v>
      </c>
    </row>
    <row r="401" spans="1:8" x14ac:dyDescent="0.3">
      <c r="A401" s="14"/>
      <c r="B401" s="18"/>
      <c r="C401" s="22"/>
      <c r="D401" s="23"/>
      <c r="E401" s="23"/>
      <c r="F401" s="23"/>
      <c r="G401" s="84" t="s">
        <v>404</v>
      </c>
      <c r="H401" s="46">
        <f>2761</f>
        <v>2761</v>
      </c>
    </row>
    <row r="402" spans="1:8" x14ac:dyDescent="0.3">
      <c r="A402" s="14"/>
      <c r="B402" s="18"/>
      <c r="C402" s="22"/>
      <c r="D402" s="23"/>
      <c r="E402" s="23"/>
      <c r="F402" s="23"/>
      <c r="G402" s="84" t="s">
        <v>405</v>
      </c>
      <c r="H402" s="46">
        <v>1500</v>
      </c>
    </row>
    <row r="403" spans="1:8" x14ac:dyDescent="0.3">
      <c r="A403" s="14"/>
      <c r="B403" s="18"/>
      <c r="C403" s="22"/>
      <c r="D403" s="23"/>
      <c r="E403" s="23"/>
      <c r="F403" s="23"/>
      <c r="G403" s="84" t="s">
        <v>406</v>
      </c>
      <c r="H403" s="46">
        <f>1500*12</f>
        <v>18000</v>
      </c>
    </row>
    <row r="404" spans="1:8" x14ac:dyDescent="0.3">
      <c r="A404" s="14"/>
      <c r="B404" s="18"/>
      <c r="C404" s="22"/>
      <c r="D404" s="23"/>
      <c r="E404" s="23"/>
      <c r="F404" s="23"/>
      <c r="G404" s="84" t="s">
        <v>407</v>
      </c>
      <c r="H404" s="46">
        <f>1500*12</f>
        <v>18000</v>
      </c>
    </row>
    <row r="405" spans="1:8" x14ac:dyDescent="0.3">
      <c r="A405" s="14"/>
      <c r="B405" s="18"/>
      <c r="C405" s="22"/>
      <c r="D405" s="23"/>
      <c r="E405" s="23"/>
      <c r="F405" s="23"/>
      <c r="G405" s="84" t="s">
        <v>408</v>
      </c>
      <c r="H405" s="46">
        <f>200*12</f>
        <v>2400</v>
      </c>
    </row>
    <row r="406" spans="1:8" x14ac:dyDescent="0.3">
      <c r="A406" s="14"/>
      <c r="B406" s="18"/>
      <c r="C406" s="22"/>
      <c r="D406" s="23"/>
      <c r="E406" s="23"/>
      <c r="F406" s="23"/>
      <c r="G406" s="84" t="s">
        <v>409</v>
      </c>
      <c r="H406" s="46">
        <v>100</v>
      </c>
    </row>
    <row r="407" spans="1:8" x14ac:dyDescent="0.3">
      <c r="A407" s="14"/>
      <c r="B407" s="18"/>
      <c r="C407" s="22"/>
      <c r="D407" s="23"/>
      <c r="E407" s="23"/>
      <c r="F407" s="23"/>
      <c r="G407" s="84" t="s">
        <v>410</v>
      </c>
      <c r="H407" s="46">
        <f>400*6</f>
        <v>2400</v>
      </c>
    </row>
    <row r="408" spans="1:8" x14ac:dyDescent="0.3">
      <c r="A408" s="14"/>
      <c r="B408" s="18"/>
      <c r="C408" s="22"/>
      <c r="D408" s="23"/>
      <c r="E408" s="23"/>
      <c r="F408" s="23"/>
      <c r="G408" s="150" t="s">
        <v>411</v>
      </c>
      <c r="H408" s="48">
        <f>400*12</f>
        <v>4800</v>
      </c>
    </row>
    <row r="409" spans="1:8" x14ac:dyDescent="0.3">
      <c r="A409" s="14"/>
      <c r="B409" s="18"/>
      <c r="C409" s="22"/>
      <c r="D409" s="23"/>
      <c r="E409" s="23"/>
      <c r="F409" s="23"/>
      <c r="G409" s="140" t="s">
        <v>302</v>
      </c>
      <c r="H409" s="141">
        <f>SUM(H391:H408)</f>
        <v>693844</v>
      </c>
    </row>
    <row r="410" spans="1:8" x14ac:dyDescent="0.3">
      <c r="A410" s="14"/>
      <c r="B410" s="18"/>
      <c r="C410" s="22" t="s">
        <v>51</v>
      </c>
      <c r="D410" s="23">
        <f>H418</f>
        <v>182787</v>
      </c>
      <c r="E410" s="23">
        <v>182787</v>
      </c>
      <c r="F410" s="23">
        <f>D410-E410</f>
        <v>0</v>
      </c>
      <c r="G410" s="133" t="s">
        <v>304</v>
      </c>
      <c r="H410" s="134"/>
    </row>
    <row r="411" spans="1:8" ht="24" x14ac:dyDescent="0.3">
      <c r="A411" s="14"/>
      <c r="B411" s="18"/>
      <c r="C411" s="22"/>
      <c r="D411" s="23"/>
      <c r="E411" s="23"/>
      <c r="F411" s="23"/>
      <c r="G411" s="45" t="s">
        <v>412</v>
      </c>
      <c r="H411" s="46">
        <f>50*45*3*5</f>
        <v>33750</v>
      </c>
    </row>
    <row r="412" spans="1:8" x14ac:dyDescent="0.3">
      <c r="A412" s="14"/>
      <c r="B412" s="18"/>
      <c r="C412" s="22"/>
      <c r="D412" s="23"/>
      <c r="E412" s="23"/>
      <c r="F412" s="23"/>
      <c r="G412" s="142" t="s">
        <v>306</v>
      </c>
      <c r="H412" s="46"/>
    </row>
    <row r="413" spans="1:8" ht="24" x14ac:dyDescent="0.3">
      <c r="A413" s="14"/>
      <c r="B413" s="18"/>
      <c r="C413" s="22"/>
      <c r="D413" s="23"/>
      <c r="E413" s="23"/>
      <c r="F413" s="23"/>
      <c r="G413" s="170" t="s">
        <v>448</v>
      </c>
      <c r="H413" s="50">
        <v>75037</v>
      </c>
    </row>
    <row r="414" spans="1:8" s="53" customFormat="1" x14ac:dyDescent="0.3">
      <c r="A414" s="64"/>
      <c r="B414" s="67"/>
      <c r="C414" s="67"/>
      <c r="D414" s="70"/>
      <c r="E414" s="70"/>
      <c r="F414" s="70"/>
      <c r="G414" s="85" t="s">
        <v>449</v>
      </c>
      <c r="H414" s="151">
        <f>1000*15*2</f>
        <v>30000</v>
      </c>
    </row>
    <row r="415" spans="1:8" x14ac:dyDescent="0.3">
      <c r="A415" s="14"/>
      <c r="B415" s="18"/>
      <c r="C415" s="22"/>
      <c r="D415" s="23"/>
      <c r="E415" s="23"/>
      <c r="F415" s="23"/>
      <c r="G415" s="142" t="s">
        <v>309</v>
      </c>
      <c r="H415" s="46"/>
    </row>
    <row r="416" spans="1:8" x14ac:dyDescent="0.3">
      <c r="A416" s="14"/>
      <c r="B416" s="18"/>
      <c r="C416" s="22"/>
      <c r="D416" s="23"/>
      <c r="E416" s="23"/>
      <c r="F416" s="23"/>
      <c r="G416" s="135" t="s">
        <v>413</v>
      </c>
      <c r="H416" s="46">
        <f>200*50*2</f>
        <v>20000</v>
      </c>
    </row>
    <row r="417" spans="1:8" x14ac:dyDescent="0.3">
      <c r="A417" s="14"/>
      <c r="B417" s="18"/>
      <c r="C417" s="22"/>
      <c r="D417" s="23"/>
      <c r="E417" s="23"/>
      <c r="F417" s="23"/>
      <c r="G417" s="135" t="s">
        <v>414</v>
      </c>
      <c r="H417" s="46">
        <f>200*60*2</f>
        <v>24000</v>
      </c>
    </row>
    <row r="418" spans="1:8" x14ac:dyDescent="0.3">
      <c r="A418" s="14"/>
      <c r="B418" s="18"/>
      <c r="C418" s="22"/>
      <c r="D418" s="23"/>
      <c r="E418" s="23"/>
      <c r="F418" s="23"/>
      <c r="G418" s="152" t="s">
        <v>302</v>
      </c>
      <c r="H418" s="153">
        <f>SUM(H410:H417)</f>
        <v>182787</v>
      </c>
    </row>
    <row r="419" spans="1:8" x14ac:dyDescent="0.3">
      <c r="A419" s="14"/>
      <c r="B419" s="18"/>
      <c r="C419" s="22" t="s">
        <v>52</v>
      </c>
      <c r="D419" s="23">
        <f>H425</f>
        <v>58240</v>
      </c>
      <c r="E419" s="23">
        <v>58240</v>
      </c>
      <c r="F419" s="23">
        <f>D419-E419</f>
        <v>0</v>
      </c>
      <c r="G419" s="154" t="s">
        <v>304</v>
      </c>
      <c r="H419" s="155"/>
    </row>
    <row r="420" spans="1:8" x14ac:dyDescent="0.3">
      <c r="A420" s="14"/>
      <c r="B420" s="18"/>
      <c r="C420" s="22"/>
      <c r="D420" s="23"/>
      <c r="E420" s="23"/>
      <c r="F420" s="23"/>
      <c r="G420" s="135" t="s">
        <v>415</v>
      </c>
      <c r="H420" s="46">
        <f>20*59*4</f>
        <v>4720</v>
      </c>
    </row>
    <row r="421" spans="1:8" x14ac:dyDescent="0.3">
      <c r="A421" s="14"/>
      <c r="B421" s="18"/>
      <c r="C421" s="22"/>
      <c r="D421" s="23"/>
      <c r="E421" s="23"/>
      <c r="F421" s="23"/>
      <c r="G421" s="142" t="s">
        <v>255</v>
      </c>
      <c r="H421" s="46"/>
    </row>
    <row r="422" spans="1:8" x14ac:dyDescent="0.3">
      <c r="A422" s="14"/>
      <c r="B422" s="18"/>
      <c r="C422" s="22"/>
      <c r="D422" s="23"/>
      <c r="E422" s="23"/>
      <c r="F422" s="23"/>
      <c r="G422" s="135" t="s">
        <v>416</v>
      </c>
      <c r="H422" s="46">
        <f>40*247*4</f>
        <v>39520</v>
      </c>
    </row>
    <row r="423" spans="1:8" x14ac:dyDescent="0.3">
      <c r="A423" s="14"/>
      <c r="B423" s="18"/>
      <c r="C423" s="22"/>
      <c r="D423" s="23"/>
      <c r="E423" s="23"/>
      <c r="F423" s="23"/>
      <c r="G423" s="142" t="s">
        <v>265</v>
      </c>
      <c r="H423" s="46"/>
    </row>
    <row r="424" spans="1:8" x14ac:dyDescent="0.3">
      <c r="A424" s="14"/>
      <c r="B424" s="18"/>
      <c r="C424" s="22"/>
      <c r="D424" s="23"/>
      <c r="E424" s="23"/>
      <c r="F424" s="23"/>
      <c r="G424" s="135" t="s">
        <v>417</v>
      </c>
      <c r="H424" s="46">
        <f>50*70*4</f>
        <v>14000</v>
      </c>
    </row>
    <row r="425" spans="1:8" x14ac:dyDescent="0.3">
      <c r="A425" s="14"/>
      <c r="B425" s="18"/>
      <c r="C425" s="22"/>
      <c r="D425" s="23"/>
      <c r="E425" s="23"/>
      <c r="F425" s="23"/>
      <c r="G425" s="140" t="s">
        <v>161</v>
      </c>
      <c r="H425" s="141">
        <f>SUM(H419:H424)</f>
        <v>58240</v>
      </c>
    </row>
    <row r="426" spans="1:8" x14ac:dyDescent="0.3">
      <c r="A426" s="14"/>
      <c r="B426" s="18"/>
      <c r="C426" s="22" t="s">
        <v>53</v>
      </c>
      <c r="D426" s="23">
        <f>H429</f>
        <v>40000</v>
      </c>
      <c r="E426" s="23">
        <v>40000</v>
      </c>
      <c r="F426" s="23">
        <f>D426-E426</f>
        <v>0</v>
      </c>
      <c r="G426" s="133" t="s">
        <v>265</v>
      </c>
      <c r="H426" s="134"/>
    </row>
    <row r="427" spans="1:8" x14ac:dyDescent="0.3">
      <c r="A427" s="14"/>
      <c r="B427" s="18"/>
      <c r="C427" s="22"/>
      <c r="D427" s="23"/>
      <c r="E427" s="23"/>
      <c r="F427" s="23"/>
      <c r="G427" s="45" t="s">
        <v>68</v>
      </c>
      <c r="H427" s="168">
        <f>300*45*2</f>
        <v>27000</v>
      </c>
    </row>
    <row r="428" spans="1:8" x14ac:dyDescent="0.3">
      <c r="A428" s="14"/>
      <c r="B428" s="18"/>
      <c r="C428" s="22"/>
      <c r="D428" s="23"/>
      <c r="E428" s="23"/>
      <c r="F428" s="23"/>
      <c r="G428" s="45" t="s">
        <v>418</v>
      </c>
      <c r="H428" s="46">
        <f>260*50</f>
        <v>13000</v>
      </c>
    </row>
    <row r="429" spans="1:8" ht="17.25" thickBot="1" x14ac:dyDescent="0.35">
      <c r="A429" s="32"/>
      <c r="B429" s="33"/>
      <c r="C429" s="34"/>
      <c r="D429" s="35"/>
      <c r="E429" s="35"/>
      <c r="F429" s="35"/>
      <c r="G429" s="156" t="s">
        <v>161</v>
      </c>
      <c r="H429" s="157">
        <f>SUM(H427:H428)</f>
        <v>40000</v>
      </c>
    </row>
    <row r="430" spans="1:8" x14ac:dyDescent="0.3">
      <c r="A430" s="36" t="s">
        <v>54</v>
      </c>
      <c r="B430" s="37"/>
      <c r="C430" s="38"/>
      <c r="D430" s="39">
        <f>SUM(D431,D434)</f>
        <v>482578</v>
      </c>
      <c r="E430" s="39">
        <f>SUM(E431,E434)</f>
        <v>420000</v>
      </c>
      <c r="F430" s="39">
        <f>D430-E430</f>
        <v>62578</v>
      </c>
      <c r="G430" s="158"/>
      <c r="H430" s="159"/>
    </row>
    <row r="431" spans="1:8" x14ac:dyDescent="0.3">
      <c r="A431" s="14"/>
      <c r="B431" s="27" t="s">
        <v>54</v>
      </c>
      <c r="C431" s="28"/>
      <c r="D431" s="29">
        <f>SUM(D432:D433)</f>
        <v>422578</v>
      </c>
      <c r="E431" s="29">
        <f>SUM(E432:E433)</f>
        <v>360000</v>
      </c>
      <c r="F431" s="29">
        <f>D431-E431</f>
        <v>62578</v>
      </c>
      <c r="G431" s="138"/>
      <c r="H431" s="139"/>
    </row>
    <row r="432" spans="1:8" x14ac:dyDescent="0.3">
      <c r="A432" s="14"/>
      <c r="B432" s="18"/>
      <c r="C432" s="25" t="s">
        <v>55</v>
      </c>
      <c r="D432" s="30"/>
      <c r="E432" s="30"/>
      <c r="F432" s="30"/>
      <c r="G432" s="144"/>
      <c r="H432" s="145"/>
    </row>
    <row r="433" spans="1:8" ht="24" x14ac:dyDescent="0.3">
      <c r="A433" s="14"/>
      <c r="B433" s="18"/>
      <c r="C433" s="40" t="s">
        <v>56</v>
      </c>
      <c r="D433" s="30">
        <f>H433</f>
        <v>422578</v>
      </c>
      <c r="E433" s="30">
        <v>360000</v>
      </c>
      <c r="F433" s="30">
        <f>D433-E433</f>
        <v>62578</v>
      </c>
      <c r="G433" s="177" t="s">
        <v>457</v>
      </c>
      <c r="H433" s="178">
        <v>422578</v>
      </c>
    </row>
    <row r="434" spans="1:8" x14ac:dyDescent="0.3">
      <c r="A434" s="14"/>
      <c r="B434" s="27" t="s">
        <v>57</v>
      </c>
      <c r="C434" s="28"/>
      <c r="D434" s="29">
        <f>SUM(D435)</f>
        <v>60000</v>
      </c>
      <c r="E434" s="29">
        <f>SUM(E435)</f>
        <v>60000</v>
      </c>
      <c r="F434" s="29">
        <f>-D434-E434</f>
        <v>-120000</v>
      </c>
      <c r="G434" s="138"/>
      <c r="H434" s="139"/>
    </row>
    <row r="435" spans="1:8" x14ac:dyDescent="0.3">
      <c r="A435" s="14"/>
      <c r="B435" s="18"/>
      <c r="C435" s="19" t="s">
        <v>57</v>
      </c>
      <c r="D435" s="30">
        <f>H435</f>
        <v>60000</v>
      </c>
      <c r="E435" s="30">
        <v>60000</v>
      </c>
      <c r="F435" s="30">
        <f>D435-E435</f>
        <v>0</v>
      </c>
      <c r="G435" s="144" t="s">
        <v>419</v>
      </c>
      <c r="H435" s="145">
        <f>5000*12</f>
        <v>60000</v>
      </c>
    </row>
    <row r="436" spans="1:8" x14ac:dyDescent="0.3">
      <c r="D436" s="86"/>
      <c r="H436" s="167"/>
    </row>
    <row r="437" spans="1:8" x14ac:dyDescent="0.3">
      <c r="A437" s="36" t="s">
        <v>141</v>
      </c>
      <c r="B437" s="37"/>
      <c r="C437" s="38"/>
      <c r="D437" s="39">
        <f>SUM(D438,D440,D442,D444,D446)</f>
        <v>1200000</v>
      </c>
      <c r="E437" s="39">
        <f>SUM(E438,E440,E442,E444,E446)</f>
        <v>1200000</v>
      </c>
      <c r="F437" s="39">
        <f>D437-E437</f>
        <v>0</v>
      </c>
      <c r="G437" s="158"/>
      <c r="H437" s="159"/>
    </row>
    <row r="438" spans="1:8" x14ac:dyDescent="0.3">
      <c r="A438" s="14"/>
      <c r="B438" s="27" t="s">
        <v>58</v>
      </c>
      <c r="C438" s="28"/>
      <c r="D438" s="29">
        <f>SUM(D439)</f>
        <v>0</v>
      </c>
      <c r="E438" s="29">
        <f>E439</f>
        <v>0</v>
      </c>
      <c r="F438" s="29">
        <f>D438-E438</f>
        <v>0</v>
      </c>
      <c r="G438" s="138"/>
      <c r="H438" s="139"/>
    </row>
    <row r="439" spans="1:8" x14ac:dyDescent="0.3">
      <c r="A439" s="14"/>
      <c r="B439" s="18"/>
      <c r="C439" s="25" t="s">
        <v>58</v>
      </c>
      <c r="D439" s="30">
        <v>0</v>
      </c>
      <c r="E439" s="30"/>
      <c r="F439" s="30">
        <f>D439-E439</f>
        <v>0</v>
      </c>
      <c r="G439" s="144"/>
      <c r="H439" s="145"/>
    </row>
    <row r="440" spans="1:8" x14ac:dyDescent="0.3">
      <c r="A440" s="14"/>
      <c r="B440" s="27" t="s">
        <v>443</v>
      </c>
      <c r="C440" s="28"/>
      <c r="D440" s="29">
        <f>H441</f>
        <v>1200000</v>
      </c>
      <c r="E440" s="29">
        <f>E441</f>
        <v>1200000</v>
      </c>
      <c r="F440" s="29">
        <f>D440-E440</f>
        <v>0</v>
      </c>
      <c r="G440" s="138"/>
      <c r="H440" s="139"/>
    </row>
    <row r="441" spans="1:8" ht="24" x14ac:dyDescent="0.3">
      <c r="A441" s="14"/>
      <c r="B441" s="18"/>
      <c r="C441" s="19" t="s">
        <v>443</v>
      </c>
      <c r="D441" s="30">
        <v>1200000</v>
      </c>
      <c r="E441" s="30">
        <v>1200000</v>
      </c>
      <c r="F441" s="30">
        <f>D441-E441</f>
        <v>0</v>
      </c>
      <c r="G441" s="179" t="s">
        <v>461</v>
      </c>
      <c r="H441" s="180">
        <f>1200000</f>
        <v>1200000</v>
      </c>
    </row>
    <row r="442" spans="1:8" x14ac:dyDescent="0.3">
      <c r="A442" s="14"/>
      <c r="B442" s="27" t="s">
        <v>60</v>
      </c>
      <c r="C442" s="28"/>
      <c r="D442" s="29">
        <f>SUM(D443)</f>
        <v>0</v>
      </c>
      <c r="E442" s="29"/>
      <c r="F442" s="29"/>
      <c r="G442" s="138"/>
      <c r="H442" s="139"/>
    </row>
    <row r="443" spans="1:8" x14ac:dyDescent="0.3">
      <c r="A443" s="14"/>
      <c r="B443" s="18"/>
      <c r="C443" s="25" t="s">
        <v>60</v>
      </c>
      <c r="D443" s="30"/>
      <c r="E443" s="30"/>
      <c r="F443" s="30"/>
      <c r="G443" s="144"/>
      <c r="H443" s="145"/>
    </row>
    <row r="444" spans="1:8" x14ac:dyDescent="0.3">
      <c r="A444" s="14"/>
      <c r="B444" s="27" t="s">
        <v>61</v>
      </c>
      <c r="C444" s="28"/>
      <c r="D444" s="29">
        <f>SUM(D445)</f>
        <v>0</v>
      </c>
      <c r="E444" s="29"/>
      <c r="F444" s="29"/>
      <c r="G444" s="138"/>
      <c r="H444" s="139"/>
    </row>
    <row r="445" spans="1:8" x14ac:dyDescent="0.3">
      <c r="A445" s="14"/>
      <c r="B445" s="18"/>
      <c r="C445" s="40" t="s">
        <v>61</v>
      </c>
      <c r="D445" s="30"/>
      <c r="E445" s="30"/>
      <c r="F445" s="30"/>
      <c r="G445" s="144"/>
      <c r="H445" s="145"/>
    </row>
    <row r="446" spans="1:8" x14ac:dyDescent="0.3">
      <c r="A446" s="14"/>
      <c r="B446" s="27" t="s">
        <v>62</v>
      </c>
      <c r="C446" s="28"/>
      <c r="D446" s="29">
        <f>SUM(D447)</f>
        <v>0</v>
      </c>
      <c r="E446" s="29"/>
      <c r="F446" s="29"/>
      <c r="G446" s="138"/>
      <c r="H446" s="139"/>
    </row>
    <row r="447" spans="1:8" x14ac:dyDescent="0.3">
      <c r="A447" s="14"/>
      <c r="B447" s="18"/>
      <c r="C447" s="40" t="s">
        <v>62</v>
      </c>
      <c r="D447" s="30"/>
      <c r="E447" s="30"/>
      <c r="F447" s="30"/>
      <c r="G447" s="144"/>
      <c r="H447" s="145"/>
    </row>
    <row r="448" spans="1:8" x14ac:dyDescent="0.3">
      <c r="A448" s="10" t="s">
        <v>63</v>
      </c>
      <c r="B448" s="11"/>
      <c r="C448" s="12"/>
      <c r="D448" s="13">
        <f>SUM(D449)</f>
        <v>0</v>
      </c>
      <c r="E448" s="13"/>
      <c r="F448" s="13"/>
      <c r="G448" s="129"/>
      <c r="H448" s="146"/>
    </row>
    <row r="449" spans="1:8" x14ac:dyDescent="0.3">
      <c r="A449" s="14"/>
      <c r="B449" s="27" t="s">
        <v>64</v>
      </c>
      <c r="C449" s="28"/>
      <c r="D449" s="29">
        <f>SUM(D450:D451)</f>
        <v>0</v>
      </c>
      <c r="E449" s="29"/>
      <c r="F449" s="29"/>
      <c r="G449" s="138"/>
      <c r="H449" s="139"/>
    </row>
    <row r="450" spans="1:8" x14ac:dyDescent="0.3">
      <c r="A450" s="14"/>
      <c r="B450" s="18"/>
      <c r="C450" s="19" t="s">
        <v>65</v>
      </c>
      <c r="D450" s="30"/>
      <c r="E450" s="30"/>
      <c r="F450" s="30"/>
      <c r="G450" s="144"/>
      <c r="H450" s="145"/>
    </row>
    <row r="451" spans="1:8" x14ac:dyDescent="0.3">
      <c r="A451" s="14"/>
      <c r="B451" s="18"/>
      <c r="C451" s="19" t="s">
        <v>66</v>
      </c>
      <c r="D451" s="30"/>
      <c r="E451" s="30"/>
      <c r="F451" s="30"/>
      <c r="G451" s="144"/>
      <c r="H451" s="145"/>
    </row>
    <row r="452" spans="1:8" ht="17.25" thickBot="1" x14ac:dyDescent="0.35">
      <c r="A452" s="41" t="s">
        <v>67</v>
      </c>
      <c r="B452" s="42"/>
      <c r="C452" s="43"/>
      <c r="D452" s="44">
        <f>D5+D59+D359+D376+D388+D448+D430+D437</f>
        <v>12524668</v>
      </c>
      <c r="E452" s="44">
        <f>E5+E59+E359+E376+E388+E448+E430+E437</f>
        <v>12301036</v>
      </c>
      <c r="F452" s="44">
        <f>D452-E452</f>
        <v>223632</v>
      </c>
      <c r="G452" s="161"/>
      <c r="H452" s="162"/>
    </row>
    <row r="453" spans="1:8" x14ac:dyDescent="0.3">
      <c r="D453" s="86"/>
    </row>
  </sheetData>
  <autoFilter ref="A3:H452">
    <filterColumn colId="6" showButton="0"/>
  </autoFilter>
  <mergeCells count="5">
    <mergeCell ref="A1:H1"/>
    <mergeCell ref="D3:D4"/>
    <mergeCell ref="E3:E4"/>
    <mergeCell ref="F3:F4"/>
    <mergeCell ref="G3:H4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(학교회계)2020 1차 추경 세입예산서</vt:lpstr>
      <vt:lpstr>(학교회계)2020 1차 추경 세출예산서</vt:lpstr>
      <vt:lpstr>'(학교회계)2020 1차 추경 세출예산서'!Print_Area</vt:lpstr>
      <vt:lpstr>'(학교회계)2020 1차 추경 세입예산서'!Print_Titles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skisndt10</dc:creator>
  <cp:lastModifiedBy>skisndt10</cp:lastModifiedBy>
  <cp:lastPrinted>2020-02-17T07:54:10Z</cp:lastPrinted>
  <dcterms:created xsi:type="dcterms:W3CDTF">2019-09-14T04:58:46Z</dcterms:created>
  <dcterms:modified xsi:type="dcterms:W3CDTF">2020-06-09T06:24:13Z</dcterms:modified>
</cp:coreProperties>
</file>